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Z:\02 POLE AUDIT &amp; SUIVI\25005.C MEAE_SUIVI DE PERFORMANCE\3. AO Nantes\4. DCE\3. CVG 01 07\"/>
    </mc:Choice>
  </mc:AlternateContent>
  <xr:revisionPtr revIDLastSave="0" documentId="8_{636A23A2-A925-4EB1-BF6E-C531DE31AF2C}" xr6:coauthVersionLast="47" xr6:coauthVersionMax="47" xr10:uidLastSave="{00000000-0000-0000-0000-000000000000}"/>
  <bookViews>
    <workbookView xWindow="28680" yWindow="-120" windowWidth="29040" windowHeight="15720" xr2:uid="{97D51001-24B0-4F9D-8D5E-7BDFB466EE80}"/>
  </bookViews>
  <sheets>
    <sheet name="Prestations Annexes" sheetId="9" r:id="rId1"/>
    <sheet name="Recap" sheetId="1" r:id="rId2"/>
    <sheet name="MAE_2025" sheetId="2" r:id="rId3"/>
    <sheet name="Hors_MAE_2025" sheetId="3" r:id="rId4"/>
    <sheet name="MAE_2024" sheetId="4" r:id="rId5"/>
    <sheet name="Hors_MAE_2024" sheetId="5" r:id="rId6"/>
    <sheet name="MAE_2023" sheetId="6" r:id="rId7"/>
    <sheet name="MAE_2022" sheetId="7" r:id="rId8"/>
    <sheet name="MAE_2021" sheetId="8" r:id="rId9"/>
  </sheets>
  <definedNames>
    <definedName name="_xlnm.Print_Area" localSheetId="8">MAE_2021!$A$1:$O$8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2" i="2" l="1"/>
  <c r="B43" i="2" s="1"/>
  <c r="E33" i="9"/>
  <c r="C33" i="9"/>
  <c r="E27" i="9"/>
  <c r="D27" i="9"/>
  <c r="E26" i="9"/>
  <c r="D26" i="9"/>
  <c r="E25" i="9"/>
  <c r="E28" i="9" s="1"/>
  <c r="D25" i="9"/>
  <c r="D28" i="9" s="1"/>
  <c r="E22" i="9"/>
  <c r="D22" i="9"/>
  <c r="E20" i="9"/>
  <c r="D20" i="9"/>
  <c r="D23" i="9" s="1"/>
  <c r="E17" i="9"/>
  <c r="D17" i="9"/>
  <c r="E16" i="9"/>
  <c r="D16" i="9"/>
  <c r="E15" i="9"/>
  <c r="D15" i="9"/>
  <c r="E12" i="9"/>
  <c r="D12" i="9"/>
  <c r="E11" i="9"/>
  <c r="D11" i="9"/>
  <c r="E10" i="9"/>
  <c r="D10" i="9"/>
  <c r="D13" i="9" s="1"/>
  <c r="C27" i="9"/>
  <c r="B27" i="9"/>
  <c r="B26" i="9"/>
  <c r="C25" i="9"/>
  <c r="C28" i="9" s="1"/>
  <c r="B25" i="9"/>
  <c r="C22" i="9"/>
  <c r="B22" i="9"/>
  <c r="C20" i="9"/>
  <c r="B20" i="9"/>
  <c r="C17" i="9"/>
  <c r="B17" i="9"/>
  <c r="C16" i="9"/>
  <c r="B16" i="9"/>
  <c r="C15" i="9"/>
  <c r="C18" i="9" s="1"/>
  <c r="B15" i="9"/>
  <c r="B18" i="9" s="1"/>
  <c r="C12" i="9"/>
  <c r="B12" i="9"/>
  <c r="B13" i="9" s="1"/>
  <c r="C11" i="9"/>
  <c r="B11" i="9"/>
  <c r="C10" i="9"/>
  <c r="B10" i="9"/>
  <c r="C13" i="9" l="1"/>
  <c r="E13" i="9"/>
  <c r="B23" i="9"/>
  <c r="D18" i="9"/>
  <c r="D31" i="9"/>
  <c r="C23" i="9"/>
  <c r="E18" i="9"/>
  <c r="E23" i="9"/>
  <c r="B28" i="9"/>
  <c r="E31" i="9"/>
  <c r="B31" i="9"/>
  <c r="C31" i="9"/>
  <c r="J28" i="8"/>
  <c r="H28" i="8"/>
  <c r="G28" i="8"/>
  <c r="J25" i="8"/>
  <c r="J33" i="8" s="1"/>
  <c r="H25" i="8"/>
  <c r="H33" i="8" s="1"/>
  <c r="P20" i="8"/>
  <c r="N20" i="8"/>
  <c r="N25" i="8" s="1"/>
  <c r="M20" i="8"/>
  <c r="M25" i="8" s="1"/>
  <c r="L20" i="8"/>
  <c r="L25" i="8" s="1"/>
  <c r="J20" i="8"/>
  <c r="H20" i="8"/>
  <c r="D20" i="8"/>
  <c r="D28" i="8" s="1"/>
  <c r="O18" i="8"/>
  <c r="O17" i="8"/>
  <c r="O16" i="8"/>
  <c r="O15" i="8"/>
  <c r="O14" i="8"/>
  <c r="O13" i="8"/>
  <c r="O12" i="8"/>
  <c r="O11" i="8"/>
  <c r="O10" i="8"/>
  <c r="O9" i="8"/>
  <c r="O8" i="8"/>
  <c r="N7" i="8"/>
  <c r="K7" i="8"/>
  <c r="K20" i="8" s="1"/>
  <c r="I7" i="8"/>
  <c r="I20" i="8" s="1"/>
  <c r="G7" i="8"/>
  <c r="G20" i="8" s="1"/>
  <c r="G25" i="8" s="1"/>
  <c r="F7" i="8"/>
  <c r="F20" i="8" s="1"/>
  <c r="E7" i="8"/>
  <c r="E20" i="8" s="1"/>
  <c r="C7" i="8"/>
  <c r="C20" i="8" s="1"/>
  <c r="B7" i="8"/>
  <c r="R20" i="7"/>
  <c r="P20" i="7"/>
  <c r="O20" i="7"/>
  <c r="N20" i="7"/>
  <c r="M20" i="7"/>
  <c r="L20" i="7"/>
  <c r="K20" i="7"/>
  <c r="J20" i="7"/>
  <c r="I20" i="7"/>
  <c r="H20" i="7"/>
  <c r="G20" i="7"/>
  <c r="F20" i="7"/>
  <c r="E20" i="7"/>
  <c r="D20" i="7"/>
  <c r="C20" i="7"/>
  <c r="B20" i="7"/>
  <c r="Q18" i="7"/>
  <c r="Q17" i="7"/>
  <c r="Q16" i="7"/>
  <c r="Q15" i="7"/>
  <c r="Q14" i="7"/>
  <c r="Q13" i="7"/>
  <c r="Q12" i="7"/>
  <c r="Q11" i="7"/>
  <c r="Q10" i="7"/>
  <c r="Q9" i="7"/>
  <c r="Q8" i="7"/>
  <c r="Q7" i="7"/>
  <c r="S20" i="6"/>
  <c r="Q20" i="6"/>
  <c r="P20" i="6"/>
  <c r="O20" i="6"/>
  <c r="N20" i="6"/>
  <c r="M20" i="6"/>
  <c r="L20" i="6"/>
  <c r="K20" i="6"/>
  <c r="J20" i="6"/>
  <c r="I20" i="6"/>
  <c r="H20" i="6"/>
  <c r="G20" i="6"/>
  <c r="F20" i="6"/>
  <c r="E20" i="6"/>
  <c r="D20" i="6"/>
  <c r="C20" i="6"/>
  <c r="B20" i="6"/>
  <c r="R18" i="6"/>
  <c r="R17" i="6"/>
  <c r="R16" i="6"/>
  <c r="R15" i="6"/>
  <c r="R14" i="6"/>
  <c r="R13" i="6"/>
  <c r="R12" i="6"/>
  <c r="R11" i="6"/>
  <c r="R10" i="6"/>
  <c r="R9" i="6"/>
  <c r="R8" i="6"/>
  <c r="R7" i="6"/>
  <c r="N20" i="5"/>
  <c r="G20" i="5"/>
  <c r="F20" i="5"/>
  <c r="E20" i="5"/>
  <c r="D20" i="5"/>
  <c r="C20" i="5"/>
  <c r="K18" i="5"/>
  <c r="J18" i="5"/>
  <c r="I18" i="5"/>
  <c r="H18" i="5"/>
  <c r="B18" i="5"/>
  <c r="K17" i="5"/>
  <c r="J17" i="5"/>
  <c r="I17" i="5"/>
  <c r="H17" i="5"/>
  <c r="B17" i="5"/>
  <c r="K16" i="5"/>
  <c r="J16" i="5"/>
  <c r="I16" i="5"/>
  <c r="H16" i="5"/>
  <c r="B16" i="5"/>
  <c r="K15" i="5"/>
  <c r="J15" i="5"/>
  <c r="I15" i="5"/>
  <c r="H15" i="5"/>
  <c r="B15" i="5"/>
  <c r="K14" i="5"/>
  <c r="J14" i="5"/>
  <c r="I14" i="5"/>
  <c r="H14" i="5"/>
  <c r="B14" i="5"/>
  <c r="K13" i="5"/>
  <c r="J13" i="5"/>
  <c r="I13" i="5"/>
  <c r="H13" i="5"/>
  <c r="B13" i="5"/>
  <c r="K12" i="5"/>
  <c r="J12" i="5"/>
  <c r="I12" i="5"/>
  <c r="H12" i="5"/>
  <c r="B12" i="5"/>
  <c r="K11" i="5"/>
  <c r="J11" i="5"/>
  <c r="I11" i="5"/>
  <c r="H11" i="5"/>
  <c r="B11" i="5"/>
  <c r="K10" i="5"/>
  <c r="J10" i="5"/>
  <c r="I10" i="5"/>
  <c r="H10" i="5"/>
  <c r="B10" i="5"/>
  <c r="K9" i="5"/>
  <c r="J9" i="5"/>
  <c r="I9" i="5"/>
  <c r="H9" i="5"/>
  <c r="B9" i="5"/>
  <c r="K8" i="5"/>
  <c r="J8" i="5"/>
  <c r="I8" i="5"/>
  <c r="H8" i="5"/>
  <c r="B8" i="5"/>
  <c r="K7" i="5"/>
  <c r="J7" i="5"/>
  <c r="I7" i="5"/>
  <c r="H7" i="5"/>
  <c r="B7" i="5"/>
  <c r="S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R18" i="4"/>
  <c r="R17" i="4"/>
  <c r="R16" i="4"/>
  <c r="R15" i="4"/>
  <c r="R14" i="4"/>
  <c r="R13" i="4"/>
  <c r="R12" i="4"/>
  <c r="R11" i="4"/>
  <c r="R10" i="4"/>
  <c r="R9" i="4"/>
  <c r="R8" i="4"/>
  <c r="R7" i="4"/>
  <c r="N20" i="3"/>
  <c r="G20" i="3"/>
  <c r="F20" i="3"/>
  <c r="E20" i="3"/>
  <c r="D20" i="3"/>
  <c r="C20" i="3"/>
  <c r="L18" i="3"/>
  <c r="L17" i="3"/>
  <c r="L16" i="3"/>
  <c r="L15" i="3"/>
  <c r="L14" i="3"/>
  <c r="L13" i="3"/>
  <c r="L12" i="3"/>
  <c r="K11" i="3"/>
  <c r="J11" i="3"/>
  <c r="I11" i="3"/>
  <c r="B11" i="3"/>
  <c r="K10" i="3"/>
  <c r="J10" i="3"/>
  <c r="I10" i="3"/>
  <c r="H10" i="3"/>
  <c r="B10" i="3"/>
  <c r="K9" i="3"/>
  <c r="J9" i="3"/>
  <c r="H9" i="3"/>
  <c r="B9" i="3"/>
  <c r="K8" i="3"/>
  <c r="J8" i="3"/>
  <c r="I8" i="3"/>
  <c r="H8" i="3"/>
  <c r="B8" i="3"/>
  <c r="K7" i="3"/>
  <c r="J7" i="3"/>
  <c r="I7" i="3"/>
  <c r="H7" i="3"/>
  <c r="B7" i="3"/>
  <c r="S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R18" i="2"/>
  <c r="R17" i="2"/>
  <c r="R16" i="2"/>
  <c r="R15" i="2"/>
  <c r="R14" i="2"/>
  <c r="R13" i="2"/>
  <c r="R12" i="2"/>
  <c r="R11" i="2"/>
  <c r="R10" i="2"/>
  <c r="R9" i="2"/>
  <c r="R8" i="2"/>
  <c r="R7" i="2"/>
  <c r="G39" i="1"/>
  <c r="G42" i="1" s="1"/>
  <c r="E39" i="1"/>
  <c r="E42" i="1" s="1"/>
  <c r="G37" i="1"/>
  <c r="F37" i="1"/>
  <c r="E37" i="1"/>
  <c r="D37" i="1"/>
  <c r="I35" i="1"/>
  <c r="I34" i="1"/>
  <c r="I33" i="1"/>
  <c r="I32" i="1"/>
  <c r="I31" i="1"/>
  <c r="I30" i="1"/>
  <c r="I29" i="1"/>
  <c r="I28" i="1"/>
  <c r="I27" i="1"/>
  <c r="I26" i="1"/>
  <c r="G24" i="1"/>
  <c r="F24" i="1"/>
  <c r="E24" i="1"/>
  <c r="D24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L16" i="5" l="1"/>
  <c r="Q20" i="7"/>
  <c r="R22" i="7" s="1"/>
  <c r="L7" i="3"/>
  <c r="O7" i="8"/>
  <c r="O20" i="8" s="1"/>
  <c r="O25" i="8" s="1"/>
  <c r="L18" i="5"/>
  <c r="F39" i="1"/>
  <c r="F42" i="1" s="1"/>
  <c r="L9" i="3"/>
  <c r="L10" i="5"/>
  <c r="G33" i="8"/>
  <c r="L9" i="5"/>
  <c r="L14" i="5"/>
  <c r="I20" i="5"/>
  <c r="H20" i="5"/>
  <c r="L15" i="5"/>
  <c r="J20" i="5"/>
  <c r="L13" i="5"/>
  <c r="L11" i="5"/>
  <c r="L17" i="5"/>
  <c r="L12" i="5"/>
  <c r="K20" i="3"/>
  <c r="J20" i="3"/>
  <c r="L8" i="3"/>
  <c r="L11" i="3"/>
  <c r="I28" i="8"/>
  <c r="I25" i="8"/>
  <c r="I33" i="8" s="1"/>
  <c r="K25" i="8"/>
  <c r="K28" i="8"/>
  <c r="C30" i="8"/>
  <c r="C28" i="8"/>
  <c r="C25" i="8"/>
  <c r="C33" i="8" s="1"/>
  <c r="K20" i="5"/>
  <c r="D39" i="1"/>
  <c r="I24" i="1"/>
  <c r="B20" i="5"/>
  <c r="R20" i="6"/>
  <c r="S22" i="6" s="1"/>
  <c r="E28" i="8"/>
  <c r="E25" i="8"/>
  <c r="E30" i="8"/>
  <c r="F28" i="8"/>
  <c r="F25" i="8"/>
  <c r="H20" i="3"/>
  <c r="I20" i="3"/>
  <c r="L7" i="5"/>
  <c r="R20" i="2"/>
  <c r="R20" i="4"/>
  <c r="L28" i="8"/>
  <c r="L33" i="8" s="1"/>
  <c r="B20" i="8"/>
  <c r="M28" i="8"/>
  <c r="M33" i="8" s="1"/>
  <c r="B20" i="3"/>
  <c r="N28" i="8"/>
  <c r="N33" i="8" s="1"/>
  <c r="L8" i="5"/>
  <c r="I37" i="1"/>
  <c r="L10" i="3"/>
  <c r="D25" i="8"/>
  <c r="D33" i="8" s="1"/>
  <c r="P22" i="8" l="1"/>
  <c r="F33" i="8"/>
  <c r="S22" i="2"/>
  <c r="B30" i="8"/>
  <c r="O30" i="8" s="1"/>
  <c r="B28" i="8"/>
  <c r="O28" i="8" s="1"/>
  <c r="B25" i="8"/>
  <c r="B33" i="8" s="1"/>
  <c r="L20" i="5"/>
  <c r="K6" i="4" s="1"/>
  <c r="L20" i="3"/>
  <c r="Q6" i="2" s="1"/>
  <c r="S22" i="4"/>
  <c r="J6" i="4"/>
  <c r="I6" i="4"/>
  <c r="G6" i="4"/>
  <c r="R6" i="4"/>
  <c r="D42" i="1"/>
  <c r="I39" i="1"/>
  <c r="C37" i="1" s="1"/>
  <c r="K33" i="8"/>
  <c r="E33" i="8"/>
  <c r="C6" i="4" l="1"/>
  <c r="D6" i="2"/>
  <c r="G6" i="5"/>
  <c r="K6" i="3"/>
  <c r="E6" i="5"/>
  <c r="D6" i="5"/>
  <c r="D6" i="4"/>
  <c r="H6" i="4"/>
  <c r="E6" i="4"/>
  <c r="D6" i="3"/>
  <c r="C6" i="2"/>
  <c r="L6" i="3"/>
  <c r="B6" i="2"/>
  <c r="F6" i="2"/>
  <c r="H6" i="3"/>
  <c r="P6" i="2"/>
  <c r="N6" i="2"/>
  <c r="I6" i="3"/>
  <c r="O6" i="2"/>
  <c r="E6" i="3"/>
  <c r="B6" i="3"/>
  <c r="F6" i="3"/>
  <c r="J6" i="2"/>
  <c r="E6" i="2"/>
  <c r="G6" i="3"/>
  <c r="H6" i="2"/>
  <c r="C6" i="3"/>
  <c r="L6" i="2"/>
  <c r="M6" i="2"/>
  <c r="L6" i="5"/>
  <c r="F6" i="5"/>
  <c r="B6" i="4"/>
  <c r="I6" i="5"/>
  <c r="H6" i="5"/>
  <c r="J6" i="5"/>
  <c r="N6" i="4"/>
  <c r="P6" i="4"/>
  <c r="C6" i="5"/>
  <c r="O6" i="4"/>
  <c r="L6" i="4"/>
  <c r="O33" i="8"/>
  <c r="Q6" i="4"/>
  <c r="F6" i="4"/>
  <c r="G6" i="2"/>
  <c r="M6" i="4"/>
  <c r="C39" i="1"/>
  <c r="C17" i="1"/>
  <c r="C10" i="1"/>
  <c r="C31" i="1"/>
  <c r="C21" i="1"/>
  <c r="C13" i="1"/>
  <c r="C28" i="1"/>
  <c r="C20" i="1"/>
  <c r="C35" i="1"/>
  <c r="C19" i="1"/>
  <c r="C34" i="1"/>
  <c r="C9" i="1"/>
  <c r="C16" i="1"/>
  <c r="C15" i="1"/>
  <c r="C12" i="1"/>
  <c r="C27" i="1"/>
  <c r="C26" i="1"/>
  <c r="C33" i="1"/>
  <c r="C8" i="1"/>
  <c r="C7" i="1"/>
  <c r="C30" i="1"/>
  <c r="C14" i="1"/>
  <c r="C22" i="1"/>
  <c r="C11" i="1"/>
  <c r="C29" i="1"/>
  <c r="C18" i="1"/>
  <c r="C32" i="1"/>
  <c r="J6" i="3"/>
  <c r="K6" i="2"/>
  <c r="I6" i="2"/>
  <c r="K6" i="5"/>
  <c r="C24" i="1"/>
  <c r="R6" i="2"/>
</calcChain>
</file>

<file path=xl/sharedStrings.xml><?xml version="1.0" encoding="utf-8"?>
<sst xmlns="http://schemas.openxmlformats.org/spreadsheetml/2006/main" count="388" uniqueCount="126">
  <si>
    <t>ADM</t>
  </si>
  <si>
    <t>% Fréquentation</t>
  </si>
  <si>
    <t>2025   (Janvier à Mai)</t>
  </si>
  <si>
    <t>TOTAL</t>
  </si>
  <si>
    <t>MAE 1</t>
  </si>
  <si>
    <t>Enf Retaité 1</t>
  </si>
  <si>
    <t>MAE 2</t>
  </si>
  <si>
    <t>Enf Retraité 2</t>
  </si>
  <si>
    <t>MAE 3</t>
  </si>
  <si>
    <t>Enf Retraité 3</t>
  </si>
  <si>
    <t>MAE 4</t>
  </si>
  <si>
    <t>Enf Retraité 4</t>
  </si>
  <si>
    <t>MAE 5</t>
  </si>
  <si>
    <t>Enf Retraité 5</t>
  </si>
  <si>
    <t>MAE 6</t>
  </si>
  <si>
    <t>Enf Retraité 6</t>
  </si>
  <si>
    <t>MAE 7</t>
  </si>
  <si>
    <t>Enf Retraité 7</t>
  </si>
  <si>
    <t>Conjoint Enf &gt;18</t>
  </si>
  <si>
    <t>Invité MAE</t>
  </si>
  <si>
    <t>TOTAL MAE</t>
  </si>
  <si>
    <t>DSFIPE</t>
  </si>
  <si>
    <t>Education Nationale</t>
  </si>
  <si>
    <t>Police</t>
  </si>
  <si>
    <t>MGEN</t>
  </si>
  <si>
    <t>Mairie</t>
  </si>
  <si>
    <t>Pole Emploi</t>
  </si>
  <si>
    <t>Finances</t>
  </si>
  <si>
    <t>DGEF</t>
  </si>
  <si>
    <t>SGCD</t>
  </si>
  <si>
    <t>Fonct Divers</t>
  </si>
  <si>
    <t>TOTAL HORS MAE</t>
  </si>
  <si>
    <t>TOTAL REPAS</t>
  </si>
  <si>
    <t>NBRE Jours</t>
  </si>
  <si>
    <t>Moyenne Jour</t>
  </si>
  <si>
    <t>MAE</t>
  </si>
  <si>
    <t>Enfant</t>
  </si>
  <si>
    <t>Conjoint</t>
  </si>
  <si>
    <t>Invité</t>
  </si>
  <si>
    <t>Retaité</t>
  </si>
  <si>
    <t xml:space="preserve">NBRE </t>
  </si>
  <si>
    <t>0 à 255</t>
  </si>
  <si>
    <t>256 à 355</t>
  </si>
  <si>
    <t>356 à 480</t>
  </si>
  <si>
    <t>481 à 534</t>
  </si>
  <si>
    <t>535 à 585</t>
  </si>
  <si>
    <t>586 à 672</t>
  </si>
  <si>
    <t>Sup à 672</t>
  </si>
  <si>
    <t>&gt;18 ans</t>
  </si>
  <si>
    <t>JOURS</t>
  </si>
  <si>
    <t>JANVIER</t>
  </si>
  <si>
    <t>FEVRIER</t>
  </si>
  <si>
    <t>MARS</t>
  </si>
  <si>
    <t>AVRIL</t>
  </si>
  <si>
    <t>MAI</t>
  </si>
  <si>
    <t>JUIN</t>
  </si>
  <si>
    <t>JUILLET</t>
  </si>
  <si>
    <t>AOUT</t>
  </si>
  <si>
    <t>SEPTEMBRE</t>
  </si>
  <si>
    <t>OCTOBRE</t>
  </si>
  <si>
    <t>NOVEMBRE</t>
  </si>
  <si>
    <t>DECEMBRE</t>
  </si>
  <si>
    <t>Subv Inter Ministérielle</t>
  </si>
  <si>
    <t>Reste à percevoir</t>
  </si>
  <si>
    <t>EDUCATION NATIONALE</t>
  </si>
  <si>
    <t>POLICE</t>
  </si>
  <si>
    <t>MAIRIE</t>
  </si>
  <si>
    <t>POLE EMPLOI</t>
  </si>
  <si>
    <t>FINANCES</t>
  </si>
  <si>
    <t>SDV</t>
  </si>
  <si>
    <t>FONCT DIVERS</t>
  </si>
  <si>
    <t>NB REPAS HORS MAE</t>
  </si>
  <si>
    <t>RECETTES CAFETERIA</t>
  </si>
  <si>
    <t>Prix du repas : 9,00 €</t>
  </si>
  <si>
    <t>Prix payé par l'Agent</t>
  </si>
  <si>
    <t>481 à 585</t>
  </si>
  <si>
    <t>MEAE NANTES REPAS SERVIS 2025</t>
  </si>
  <si>
    <t>MEAE NANTES REPAS SERVIS 2025 HORS Agents MEAE</t>
  </si>
  <si>
    <t>MEAE NANTES REPAS SERVIS 2024 HORS Agents MEAE</t>
  </si>
  <si>
    <t>MEAE NANTES REPAS SERVIS 2024</t>
  </si>
  <si>
    <t>MEAE NANTES REPAS SERVIS 2023</t>
  </si>
  <si>
    <t>MEAE NANTES REPAS SERVIS 2022</t>
  </si>
  <si>
    <t>MEAE NANTES REPAS SERVIS 2021</t>
  </si>
  <si>
    <t>MEAE</t>
  </si>
  <si>
    <t>NB REPAS HORS MEAE</t>
  </si>
  <si>
    <t xml:space="preserve">MEAE NANTES REPAS SERVIS </t>
  </si>
  <si>
    <t>Réceptions</t>
  </si>
  <si>
    <t>Réception Boissons</t>
  </si>
  <si>
    <t>janvier</t>
  </si>
  <si>
    <t>fevrier</t>
  </si>
  <si>
    <t>mars</t>
  </si>
  <si>
    <t>1er trim</t>
  </si>
  <si>
    <t>avril</t>
  </si>
  <si>
    <t>mai</t>
  </si>
  <si>
    <t>juin</t>
  </si>
  <si>
    <t>2ème trim</t>
  </si>
  <si>
    <t>juillet</t>
  </si>
  <si>
    <t>aout</t>
  </si>
  <si>
    <t>septembre</t>
  </si>
  <si>
    <t>3ème trim</t>
  </si>
  <si>
    <t>octobre</t>
  </si>
  <si>
    <t>novembre</t>
  </si>
  <si>
    <t>décembre</t>
  </si>
  <si>
    <t>4ème trim</t>
  </si>
  <si>
    <t>Année</t>
  </si>
  <si>
    <t>CA 2024</t>
  </si>
  <si>
    <t>CA 2023</t>
  </si>
  <si>
    <t>Nbre Repas</t>
  </si>
  <si>
    <t>Lundi 02 Juin</t>
  </si>
  <si>
    <t>Mardi 03 Juin</t>
  </si>
  <si>
    <t>Mercredi 04 Juin</t>
  </si>
  <si>
    <t>Jeudi 05 Juin</t>
  </si>
  <si>
    <t>Vendredi 06 Juin</t>
  </si>
  <si>
    <t>Lundi 09 Juin</t>
  </si>
  <si>
    <t>Férié</t>
  </si>
  <si>
    <t>Mardi 10 Juin</t>
  </si>
  <si>
    <t>Mercredi 11 Juin</t>
  </si>
  <si>
    <t>Jeudi 12 Juin</t>
  </si>
  <si>
    <t>Vendredi 13 Juin</t>
  </si>
  <si>
    <t>Lundi 16 Juin</t>
  </si>
  <si>
    <t>Mardi 17 Juin</t>
  </si>
  <si>
    <t>Mercredi 18 Juin</t>
  </si>
  <si>
    <t>Jeudi 19 Juin</t>
  </si>
  <si>
    <t>Moyen/Jour</t>
  </si>
  <si>
    <t>Fréquentation journalière juin 2025</t>
  </si>
  <si>
    <t>Prestations Annexes , Service à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</si>
</sst>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€-40C];[Red]&quot;-&quot;#,##0.00&quot; &quot;[$€-40C]"/>
    <numFmt numFmtId="165" formatCode="#,##0.00\ &quot;€&quot;"/>
  </numFmts>
  <fonts count="26" x14ac:knownFonts="1">
    <font>
      <sz val="11"/>
      <color rgb="FF000000"/>
      <name val="MS Sans Serif"/>
    </font>
    <font>
      <sz val="11"/>
      <color rgb="FF000000"/>
      <name val="MS Sans Serif"/>
    </font>
    <font>
      <b/>
      <sz val="10"/>
      <color rgb="FF000000"/>
      <name val="MS Sans Serif"/>
    </font>
    <font>
      <sz val="10"/>
      <color rgb="FFFFFFFF"/>
      <name val="MS Sans Serif"/>
    </font>
    <font>
      <sz val="10"/>
      <color rgb="FFCC0000"/>
      <name val="MS Sans Serif"/>
    </font>
    <font>
      <b/>
      <sz val="10"/>
      <color rgb="FFFFFFFF"/>
      <name val="MS Sans Serif"/>
    </font>
    <font>
      <i/>
      <sz val="10"/>
      <color rgb="FF808080"/>
      <name val="MS Sans Serif"/>
    </font>
    <font>
      <sz val="10"/>
      <color rgb="FF006600"/>
      <name val="MS Sans Serif"/>
    </font>
    <font>
      <b/>
      <i/>
      <sz val="16"/>
      <color rgb="FF000000"/>
      <name val="MS Sans Serif"/>
    </font>
    <font>
      <b/>
      <sz val="24"/>
      <color rgb="FF000000"/>
      <name val="MS Sans Serif"/>
    </font>
    <font>
      <sz val="18"/>
      <color rgb="FF000000"/>
      <name val="MS Sans Serif"/>
    </font>
    <font>
      <sz val="12"/>
      <color rgb="FF000000"/>
      <name val="MS Sans Serif"/>
    </font>
    <font>
      <u/>
      <sz val="10"/>
      <color rgb="FF0000EE"/>
      <name val="MS Sans Serif"/>
    </font>
    <font>
      <sz val="10"/>
      <color rgb="FF996600"/>
      <name val="MS Sans Serif"/>
    </font>
    <font>
      <sz val="10"/>
      <color rgb="FF333333"/>
      <name val="MS Sans Serif"/>
    </font>
    <font>
      <b/>
      <i/>
      <u/>
      <sz val="11"/>
      <color rgb="FF000000"/>
      <name val="MS Sans Serif"/>
    </font>
    <font>
      <b/>
      <u/>
      <sz val="11"/>
      <color rgb="FF000000"/>
      <name val="Calibri Light"/>
      <family val="2"/>
    </font>
    <font>
      <sz val="11"/>
      <color rgb="FF000000"/>
      <name val="Calibri Light"/>
      <family val="2"/>
    </font>
    <font>
      <b/>
      <sz val="11"/>
      <color rgb="FF000000"/>
      <name val="Calibri Light"/>
      <family val="2"/>
    </font>
    <font>
      <sz val="8"/>
      <color rgb="FF000000"/>
      <name val="Calibri Light"/>
      <family val="2"/>
    </font>
    <font>
      <sz val="9"/>
      <color rgb="FF000000"/>
      <name val="Calibri Light"/>
      <family val="2"/>
    </font>
    <font>
      <b/>
      <sz val="9"/>
      <color rgb="FF000000"/>
      <name val="Calibri Light"/>
      <family val="2"/>
    </font>
    <font>
      <b/>
      <sz val="8"/>
      <color rgb="FF000000"/>
      <name val="Calibri Light"/>
      <family val="2"/>
    </font>
    <font>
      <sz val="8"/>
      <name val="Calibri Light"/>
      <family val="2"/>
    </font>
    <font>
      <sz val="10"/>
      <color rgb="FF000000"/>
      <name val="Calibri Light"/>
      <family val="2"/>
    </font>
    <font>
      <b/>
      <sz val="10"/>
      <color rgb="FF000000"/>
      <name val="Calibri Light"/>
      <family val="2"/>
    </font>
  </fonts>
  <fills count="15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92D050"/>
        <bgColor rgb="FF92D05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FF"/>
      </patternFill>
    </fill>
  </fills>
  <borders count="1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2">
    <xf numFmtId="0" fontId="0" fillId="0" borderId="0"/>
    <xf numFmtId="0" fontId="14" fillId="8" borderId="1" applyNumberFormat="0" applyProtection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0" fontId="6" fillId="0" borderId="0" applyNumberFormat="0" applyBorder="0" applyProtection="0"/>
    <xf numFmtId="0" fontId="7" fillId="7" borderId="0" applyNumberFormat="0" applyBorder="0" applyProtection="0"/>
    <xf numFmtId="0" fontId="8" fillId="0" borderId="0" applyNumberFormat="0" applyBorder="0" applyProtection="0">
      <alignment horizontal="center"/>
    </xf>
    <xf numFmtId="0" fontId="9" fillId="0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0" fontId="8" fillId="0" borderId="0" applyNumberFormat="0" applyBorder="0" applyProtection="0">
      <alignment horizontal="center" textRotation="90"/>
    </xf>
    <xf numFmtId="0" fontId="12" fillId="0" borderId="0" applyNumberFormat="0" applyBorder="0" applyProtection="0"/>
    <xf numFmtId="0" fontId="13" fillId="8" borderId="0" applyNumberFormat="0" applyBorder="0" applyProtection="0"/>
    <xf numFmtId="0" fontId="15" fillId="0" borderId="0" applyNumberFormat="0" applyBorder="0" applyProtection="0"/>
    <xf numFmtId="164" fontId="15" fillId="0" borderId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107">
    <xf numFmtId="0" fontId="0" fillId="0" borderId="0" xfId="0"/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 shrinkToFit="1"/>
    </xf>
    <xf numFmtId="0" fontId="24" fillId="0" borderId="0" xfId="0" applyFont="1" applyAlignment="1">
      <alignment horizontal="center" vertical="center" shrinkToFit="1"/>
    </xf>
    <xf numFmtId="0" fontId="25" fillId="0" borderId="0" xfId="0" applyFont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 shrinkToFit="1"/>
    </xf>
    <xf numFmtId="0" fontId="25" fillId="0" borderId="3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 shrinkToFit="1"/>
    </xf>
    <xf numFmtId="0" fontId="24" fillId="0" borderId="4" xfId="0" applyFont="1" applyBorder="1" applyAlignment="1">
      <alignment horizontal="center" vertical="center" shrinkToFit="1"/>
    </xf>
    <xf numFmtId="0" fontId="24" fillId="0" borderId="5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 shrinkToFit="1"/>
    </xf>
    <xf numFmtId="0" fontId="25" fillId="0" borderId="5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 shrinkToFit="1"/>
    </xf>
    <xf numFmtId="0" fontId="24" fillId="0" borderId="4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 shrinkToFit="1"/>
    </xf>
    <xf numFmtId="0" fontId="25" fillId="0" borderId="2" xfId="0" applyFont="1" applyBorder="1" applyAlignment="1">
      <alignment horizontal="center" vertical="center" shrinkToFit="1"/>
    </xf>
    <xf numFmtId="4" fontId="24" fillId="0" borderId="0" xfId="0" applyNumberFormat="1" applyFont="1" applyAlignment="1">
      <alignment horizontal="center" vertical="center" shrinkToFit="1"/>
    </xf>
    <xf numFmtId="4" fontId="24" fillId="0" borderId="3" xfId="0" applyNumberFormat="1" applyFont="1" applyBorder="1" applyAlignment="1">
      <alignment horizontal="center" vertical="center" shrinkToFit="1"/>
    </xf>
    <xf numFmtId="4" fontId="25" fillId="0" borderId="3" xfId="0" applyNumberFormat="1" applyFont="1" applyBorder="1" applyAlignment="1">
      <alignment horizontal="center" vertical="center" shrinkToFit="1"/>
    </xf>
    <xf numFmtId="4" fontId="24" fillId="0" borderId="4" xfId="0" applyNumberFormat="1" applyFont="1" applyBorder="1" applyAlignment="1">
      <alignment horizontal="center" vertical="center" shrinkToFit="1"/>
    </xf>
    <xf numFmtId="4" fontId="25" fillId="0" borderId="4" xfId="0" applyNumberFormat="1" applyFont="1" applyBorder="1" applyAlignment="1">
      <alignment horizontal="center" vertical="center"/>
    </xf>
    <xf numFmtId="4" fontId="25" fillId="0" borderId="3" xfId="0" applyNumberFormat="1" applyFont="1" applyBorder="1" applyAlignment="1">
      <alignment horizontal="center" vertical="center"/>
    </xf>
    <xf numFmtId="4" fontId="24" fillId="0" borderId="5" xfId="0" applyNumberFormat="1" applyFont="1" applyBorder="1" applyAlignment="1">
      <alignment horizontal="center" vertical="center" shrinkToFit="1"/>
    </xf>
    <xf numFmtId="4" fontId="25" fillId="0" borderId="5" xfId="0" applyNumberFormat="1" applyFont="1" applyBorder="1" applyAlignment="1">
      <alignment horizontal="center" vertical="center"/>
    </xf>
    <xf numFmtId="164" fontId="24" fillId="0" borderId="5" xfId="0" applyNumberFormat="1" applyFont="1" applyBorder="1" applyAlignment="1">
      <alignment horizontal="center" vertical="center"/>
    </xf>
    <xf numFmtId="0" fontId="24" fillId="9" borderId="4" xfId="0" applyFont="1" applyFill="1" applyBorder="1" applyAlignment="1">
      <alignment horizontal="center" vertical="center"/>
    </xf>
    <xf numFmtId="10" fontId="24" fillId="9" borderId="4" xfId="0" applyNumberFormat="1" applyFont="1" applyFill="1" applyBorder="1" applyAlignment="1">
      <alignment horizontal="center" vertical="center" shrinkToFit="1"/>
    </xf>
    <xf numFmtId="10" fontId="24" fillId="9" borderId="2" xfId="0" applyNumberFormat="1" applyFont="1" applyFill="1" applyBorder="1" applyAlignment="1">
      <alignment horizontal="center" vertical="center" shrinkToFit="1"/>
    </xf>
    <xf numFmtId="0" fontId="25" fillId="0" borderId="6" xfId="0" applyFont="1" applyBorder="1" applyAlignment="1">
      <alignment horizontal="center" vertical="center" wrapText="1"/>
    </xf>
    <xf numFmtId="3" fontId="24" fillId="0" borderId="3" xfId="0" applyNumberFormat="1" applyFont="1" applyBorder="1" applyAlignment="1">
      <alignment horizontal="center" vertical="center" shrinkToFit="1"/>
    </xf>
    <xf numFmtId="3" fontId="25" fillId="0" borderId="4" xfId="0" applyNumberFormat="1" applyFont="1" applyBorder="1" applyAlignment="1">
      <alignment horizontal="center" vertical="center" shrinkToFit="1"/>
    </xf>
    <xf numFmtId="4" fontId="25" fillId="0" borderId="6" xfId="0" applyNumberFormat="1" applyFont="1" applyBorder="1" applyAlignment="1">
      <alignment horizontal="center" vertical="center" shrinkToFit="1"/>
    </xf>
    <xf numFmtId="3" fontId="24" fillId="0" borderId="4" xfId="0" applyNumberFormat="1" applyFont="1" applyBorder="1" applyAlignment="1">
      <alignment horizontal="center" vertical="center" shrinkToFit="1"/>
    </xf>
    <xf numFmtId="4" fontId="25" fillId="0" borderId="7" xfId="0" applyNumberFormat="1" applyFont="1" applyBorder="1" applyAlignment="1">
      <alignment horizontal="center" vertical="center" shrinkToFit="1"/>
    </xf>
    <xf numFmtId="0" fontId="25" fillId="0" borderId="7" xfId="0" applyFont="1" applyBorder="1" applyAlignment="1">
      <alignment horizontal="center" vertical="center" shrinkToFit="1"/>
    </xf>
    <xf numFmtId="3" fontId="24" fillId="0" borderId="2" xfId="0" applyNumberFormat="1" applyFont="1" applyBorder="1" applyAlignment="1">
      <alignment horizontal="center" vertical="center" shrinkToFit="1"/>
    </xf>
    <xf numFmtId="4" fontId="25" fillId="0" borderId="10" xfId="0" applyNumberFormat="1" applyFont="1" applyBorder="1" applyAlignment="1">
      <alignment horizontal="center" vertical="center" shrinkToFit="1"/>
    </xf>
    <xf numFmtId="3" fontId="24" fillId="0" borderId="0" xfId="0" applyNumberFormat="1" applyFont="1" applyAlignment="1">
      <alignment horizontal="center" vertical="center" shrinkToFit="1"/>
    </xf>
    <xf numFmtId="10" fontId="24" fillId="0" borderId="0" xfId="0" applyNumberFormat="1" applyFont="1" applyAlignment="1">
      <alignment horizontal="center" vertical="center" shrinkToFit="1"/>
    </xf>
    <xf numFmtId="0" fontId="24" fillId="9" borderId="2" xfId="0" applyFont="1" applyFill="1" applyBorder="1" applyAlignment="1">
      <alignment horizontal="center" vertical="center"/>
    </xf>
    <xf numFmtId="3" fontId="25" fillId="0" borderId="3" xfId="0" applyNumberFormat="1" applyFont="1" applyBorder="1" applyAlignment="1">
      <alignment horizontal="center" vertical="center" shrinkToFit="1"/>
    </xf>
    <xf numFmtId="3" fontId="25" fillId="0" borderId="2" xfId="0" applyNumberFormat="1" applyFont="1" applyBorder="1" applyAlignment="1">
      <alignment horizontal="center" vertical="center" shrinkToFit="1"/>
    </xf>
    <xf numFmtId="0" fontId="18" fillId="0" borderId="0" xfId="0" applyFont="1" applyAlignment="1">
      <alignment horizontal="center" vertical="center"/>
    </xf>
    <xf numFmtId="0" fontId="18" fillId="0" borderId="4" xfId="0" applyFont="1" applyBorder="1" applyAlignment="1">
      <alignment horizontal="center" vertical="center" shrinkToFit="1"/>
    </xf>
    <xf numFmtId="0" fontId="18" fillId="0" borderId="5" xfId="0" applyFont="1" applyBorder="1" applyAlignment="1">
      <alignment horizontal="center" vertical="center" shrinkToFit="1"/>
    </xf>
    <xf numFmtId="0" fontId="24" fillId="0" borderId="6" xfId="0" applyFont="1" applyBorder="1" applyAlignment="1">
      <alignment horizontal="center" vertical="center"/>
    </xf>
    <xf numFmtId="10" fontId="24" fillId="0" borderId="7" xfId="0" applyNumberFormat="1" applyFont="1" applyBorder="1" applyAlignment="1">
      <alignment horizontal="center" vertical="center"/>
    </xf>
    <xf numFmtId="3" fontId="24" fillId="0" borderId="7" xfId="0" applyNumberFormat="1" applyFont="1" applyBorder="1" applyAlignment="1">
      <alignment horizontal="center" vertical="center" shrinkToFit="1"/>
    </xf>
    <xf numFmtId="10" fontId="24" fillId="0" borderId="2" xfId="0" applyNumberFormat="1" applyFont="1" applyBorder="1" applyAlignment="1">
      <alignment horizontal="center" vertical="center"/>
    </xf>
    <xf numFmtId="3" fontId="24" fillId="0" borderId="8" xfId="0" applyNumberFormat="1" applyFont="1" applyBorder="1" applyAlignment="1">
      <alignment horizontal="center" vertical="center" shrinkToFit="1"/>
    </xf>
    <xf numFmtId="0" fontId="18" fillId="0" borderId="2" xfId="0" applyFont="1" applyBorder="1" applyAlignment="1">
      <alignment horizontal="center" vertical="center"/>
    </xf>
    <xf numFmtId="3" fontId="18" fillId="0" borderId="2" xfId="0" applyNumberFormat="1" applyFont="1" applyBorder="1" applyAlignment="1">
      <alignment horizontal="center" vertical="center" shrinkToFit="1"/>
    </xf>
    <xf numFmtId="0" fontId="24" fillId="0" borderId="9" xfId="0" applyFont="1" applyBorder="1" applyAlignment="1">
      <alignment horizontal="center" vertical="center" shrinkToFit="1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0" fillId="0" borderId="13" xfId="0" applyFont="1" applyBorder="1" applyAlignment="1">
      <alignment vertical="center"/>
    </xf>
    <xf numFmtId="0" fontId="20" fillId="0" borderId="14" xfId="0" applyFont="1" applyBorder="1" applyAlignment="1">
      <alignment vertical="center"/>
    </xf>
    <xf numFmtId="0" fontId="21" fillId="12" borderId="14" xfId="0" applyFont="1" applyFill="1" applyBorder="1" applyAlignment="1">
      <alignment vertical="center"/>
    </xf>
    <xf numFmtId="0" fontId="21" fillId="12" borderId="14" xfId="0" applyFont="1" applyFill="1" applyBorder="1" applyAlignment="1">
      <alignment horizontal="left" vertical="center"/>
    </xf>
    <xf numFmtId="0" fontId="21" fillId="0" borderId="14" xfId="0" applyFont="1" applyBorder="1" applyAlignment="1">
      <alignment vertical="center"/>
    </xf>
    <xf numFmtId="0" fontId="21" fillId="0" borderId="15" xfId="0" applyFont="1" applyBorder="1" applyAlignment="1">
      <alignment vertical="center"/>
    </xf>
    <xf numFmtId="0" fontId="17" fillId="0" borderId="12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4" fillId="0" borderId="4" xfId="0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0" fontId="17" fillId="0" borderId="4" xfId="0" applyFont="1" applyBorder="1" applyAlignment="1">
      <alignment vertical="center"/>
    </xf>
    <xf numFmtId="4" fontId="17" fillId="0" borderId="4" xfId="0" applyNumberFormat="1" applyFont="1" applyBorder="1" applyAlignment="1">
      <alignment vertical="center"/>
    </xf>
    <xf numFmtId="3" fontId="17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0" fontId="24" fillId="0" borderId="2" xfId="0" applyFont="1" applyBorder="1" applyAlignment="1">
      <alignment vertical="center"/>
    </xf>
    <xf numFmtId="0" fontId="24" fillId="0" borderId="9" xfId="0" applyFont="1" applyBorder="1" applyAlignment="1">
      <alignment vertical="center"/>
    </xf>
    <xf numFmtId="165" fontId="19" fillId="10" borderId="7" xfId="0" applyNumberFormat="1" applyFont="1" applyFill="1" applyBorder="1" applyAlignment="1">
      <alignment vertical="center"/>
    </xf>
    <xf numFmtId="165" fontId="19" fillId="13" borderId="7" xfId="0" applyNumberFormat="1" applyFont="1" applyFill="1" applyBorder="1" applyAlignment="1">
      <alignment vertical="center"/>
    </xf>
    <xf numFmtId="165" fontId="22" fillId="11" borderId="7" xfId="0" applyNumberFormat="1" applyFont="1" applyFill="1" applyBorder="1" applyAlignment="1">
      <alignment vertical="center"/>
    </xf>
    <xf numFmtId="165" fontId="22" fillId="14" borderId="7" xfId="0" applyNumberFormat="1" applyFont="1" applyFill="1" applyBorder="1" applyAlignment="1">
      <alignment vertical="center"/>
    </xf>
    <xf numFmtId="165" fontId="23" fillId="10" borderId="7" xfId="0" applyNumberFormat="1" applyFont="1" applyFill="1" applyBorder="1" applyAlignment="1">
      <alignment vertical="center"/>
    </xf>
    <xf numFmtId="165" fontId="22" fillId="10" borderId="11" xfId="0" applyNumberFormat="1" applyFont="1" applyFill="1" applyBorder="1" applyAlignment="1">
      <alignment vertical="center"/>
    </xf>
    <xf numFmtId="165" fontId="22" fillId="13" borderId="11" xfId="0" applyNumberFormat="1" applyFont="1" applyFill="1" applyBorder="1" applyAlignment="1">
      <alignment vertical="center"/>
    </xf>
    <xf numFmtId="165" fontId="22" fillId="0" borderId="2" xfId="0" applyNumberFormat="1" applyFont="1" applyBorder="1" applyAlignment="1">
      <alignment vertical="center"/>
    </xf>
    <xf numFmtId="1" fontId="24" fillId="0" borderId="0" xfId="0" applyNumberFormat="1" applyFont="1" applyAlignment="1">
      <alignment horizontal="center" vertical="center" shrinkToFit="1"/>
    </xf>
    <xf numFmtId="0" fontId="25" fillId="0" borderId="0" xfId="0" applyFont="1" applyAlignment="1">
      <alignment horizontal="left" vertical="center"/>
    </xf>
    <xf numFmtId="2" fontId="19" fillId="10" borderId="3" xfId="0" applyNumberFormat="1" applyFont="1" applyFill="1" applyBorder="1" applyAlignment="1">
      <alignment horizontal="center" vertical="center" wrapText="1"/>
    </xf>
    <xf numFmtId="0" fontId="17" fillId="10" borderId="4" xfId="0" applyFont="1" applyFill="1" applyBorder="1" applyAlignment="1">
      <alignment vertical="center" wrapText="1"/>
    </xf>
    <xf numFmtId="0" fontId="17" fillId="10" borderId="5" xfId="0" applyFont="1" applyFill="1" applyBorder="1" applyAlignment="1">
      <alignment vertical="center" wrapText="1"/>
    </xf>
    <xf numFmtId="0" fontId="17" fillId="10" borderId="4" xfId="0" applyFont="1" applyFill="1" applyBorder="1" applyAlignment="1">
      <alignment horizontal="center" vertical="center" wrapText="1"/>
    </xf>
    <xf numFmtId="0" fontId="17" fillId="10" borderId="5" xfId="0" applyFont="1" applyFill="1" applyBorder="1" applyAlignment="1">
      <alignment horizontal="center" vertical="center" wrapText="1"/>
    </xf>
    <xf numFmtId="2" fontId="19" fillId="13" borderId="3" xfId="0" applyNumberFormat="1" applyFont="1" applyFill="1" applyBorder="1" applyAlignment="1">
      <alignment horizontal="center" vertical="center" wrapText="1"/>
    </xf>
    <xf numFmtId="0" fontId="17" fillId="13" borderId="4" xfId="0" applyFont="1" applyFill="1" applyBorder="1" applyAlignment="1">
      <alignment vertical="center" wrapText="1"/>
    </xf>
    <xf numFmtId="0" fontId="17" fillId="13" borderId="5" xfId="0" applyFont="1" applyFill="1" applyBorder="1" applyAlignment="1">
      <alignment vertical="center" wrapText="1"/>
    </xf>
    <xf numFmtId="0" fontId="17" fillId="13" borderId="4" xfId="0" applyFont="1" applyFill="1" applyBorder="1" applyAlignment="1">
      <alignment horizontal="center" vertical="center" wrapText="1"/>
    </xf>
    <xf numFmtId="0" fontId="17" fillId="13" borderId="5" xfId="0" applyFont="1" applyFill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shrinkToFit="1"/>
    </xf>
    <xf numFmtId="0" fontId="25" fillId="0" borderId="2" xfId="0" applyFont="1" applyBorder="1" applyAlignment="1">
      <alignment horizontal="center" vertical="center" wrapText="1" shrinkToFit="1"/>
    </xf>
    <xf numFmtId="0" fontId="25" fillId="0" borderId="0" xfId="0" applyFont="1" applyAlignment="1">
      <alignment horizontal="center" vertical="center" shrinkToFit="1"/>
    </xf>
    <xf numFmtId="0" fontId="24" fillId="0" borderId="2" xfId="0" applyFont="1" applyBorder="1" applyAlignment="1">
      <alignment horizontal="center" vertical="center" shrinkToFit="1"/>
    </xf>
    <xf numFmtId="0" fontId="24" fillId="0" borderId="2" xfId="0" applyFont="1" applyBorder="1" applyAlignment="1">
      <alignment horizontal="center" vertical="center" wrapText="1" shrinkToFit="1"/>
    </xf>
    <xf numFmtId="0" fontId="25" fillId="0" borderId="2" xfId="0" applyFont="1" applyBorder="1" applyAlignment="1">
      <alignment horizontal="center" vertical="center" wrapText="1"/>
    </xf>
    <xf numFmtId="4" fontId="25" fillId="0" borderId="2" xfId="0" applyNumberFormat="1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4" fontId="24" fillId="0" borderId="2" xfId="0" applyNumberFormat="1" applyFont="1" applyBorder="1" applyAlignment="1">
      <alignment horizontal="center" vertical="center" shrinkToFit="1"/>
    </xf>
  </cellXfs>
  <cellStyles count="22">
    <cellStyle name="Accent" xfId="2" xr:uid="{1CF145CE-9442-4717-8728-6BF2FF79D3C8}"/>
    <cellStyle name="Accent 1" xfId="3" xr:uid="{6697E076-DDA5-4C1F-B3A4-C8C1D7F2CB8B}"/>
    <cellStyle name="Accent 2" xfId="4" xr:uid="{574D9B21-5975-4F95-A5F6-89D655682718}"/>
    <cellStyle name="Accent 3" xfId="5" xr:uid="{3D06390F-1E15-46E5-AA29-D9A8AECE1FAB}"/>
    <cellStyle name="Bad" xfId="6" xr:uid="{CCCC61F1-EB24-4CF0-ABEC-064482CB52E1}"/>
    <cellStyle name="Error" xfId="7" xr:uid="{E2B995B8-06CD-44C4-BC1A-5524838A220E}"/>
    <cellStyle name="Footnote" xfId="8" xr:uid="{5CB4FB0C-4502-4AB5-B3A3-96DF13422C91}"/>
    <cellStyle name="Good" xfId="9" xr:uid="{AB814864-4C12-4187-A11C-A3DB9C0F4042}"/>
    <cellStyle name="Heading" xfId="10" xr:uid="{207E4E95-6946-4656-95F2-FB96C756A415}"/>
    <cellStyle name="Heading (user)" xfId="11" xr:uid="{31455728-6D88-4691-8F90-9670819B8007}"/>
    <cellStyle name="Heading 1" xfId="12" xr:uid="{F927E242-7797-4DC7-A21F-1EBE1C924E56}"/>
    <cellStyle name="Heading 2" xfId="13" xr:uid="{DC186876-89C2-426C-8F55-6702933BADBA}"/>
    <cellStyle name="Heading1" xfId="14" xr:uid="{BC8C80C2-71DB-4F40-A12B-5D753368D5FE}"/>
    <cellStyle name="Hyperlink" xfId="15" xr:uid="{62E8AB50-87E3-4ECE-9B67-EA4BEA57859E}"/>
    <cellStyle name="Neutral" xfId="16" xr:uid="{0D4942D5-B530-4ED7-AB83-2090BFB35C33}"/>
    <cellStyle name="Normal" xfId="0" builtinId="0" customBuiltin="1"/>
    <cellStyle name="Note" xfId="1" builtinId="10" customBuiltin="1"/>
    <cellStyle name="Result" xfId="17" xr:uid="{BCDB6B9D-21EC-4485-8C86-3EA1F0AEEE0E}"/>
    <cellStyle name="Result2" xfId="18" xr:uid="{BF56D2EC-B0AD-4602-AE60-F3D2D43DE6D7}"/>
    <cellStyle name="Status" xfId="19" xr:uid="{375A5794-7131-493F-BD41-1D40D4FDB7A3}"/>
    <cellStyle name="Text" xfId="20" xr:uid="{48F3AC92-DC8B-406B-8B61-9C4C89EAFC5C}"/>
    <cellStyle name="Warning" xfId="21" xr:uid="{F1811036-7415-45E0-9921-8175A9CE32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51B8C-A2BC-478F-BA50-5E73CD4A0710}">
  <sheetPr>
    <tabColor theme="8" tint="0.39997558519241921"/>
  </sheetPr>
  <dimension ref="A3:E33"/>
  <sheetViews>
    <sheetView tabSelected="1" zoomScale="115" zoomScaleNormal="115" workbookViewId="0">
      <selection activeCell="D41" sqref="D40:D41"/>
    </sheetView>
  </sheetViews>
  <sheetFormatPr baseColWidth="10" defaultRowHeight="14.5" x14ac:dyDescent="0.25"/>
  <cols>
    <col min="1" max="16384" width="10.6640625" style="57"/>
  </cols>
  <sheetData>
    <row r="3" spans="1:5" x14ac:dyDescent="0.25">
      <c r="A3" s="56" t="s">
        <v>125</v>
      </c>
    </row>
    <row r="6" spans="1:5" x14ac:dyDescent="0.25">
      <c r="B6" s="95" t="s">
        <v>105</v>
      </c>
      <c r="C6" s="95"/>
      <c r="D6" s="95" t="s">
        <v>106</v>
      </c>
      <c r="E6" s="95"/>
    </row>
    <row r="7" spans="1:5" x14ac:dyDescent="0.25">
      <c r="B7" s="85" t="s">
        <v>86</v>
      </c>
      <c r="C7" s="85" t="s">
        <v>87</v>
      </c>
      <c r="D7" s="90" t="s">
        <v>86</v>
      </c>
      <c r="E7" s="90" t="s">
        <v>87</v>
      </c>
    </row>
    <row r="8" spans="1:5" x14ac:dyDescent="0.25">
      <c r="B8" s="86"/>
      <c r="C8" s="88"/>
      <c r="D8" s="91"/>
      <c r="E8" s="93"/>
    </row>
    <row r="9" spans="1:5" x14ac:dyDescent="0.25">
      <c r="B9" s="87"/>
      <c r="C9" s="89"/>
      <c r="D9" s="92"/>
      <c r="E9" s="94"/>
    </row>
    <row r="10" spans="1:5" x14ac:dyDescent="0.25">
      <c r="A10" s="58" t="s">
        <v>88</v>
      </c>
      <c r="B10" s="75">
        <f>989.6+77.4+1492.5</f>
        <v>2559.5</v>
      </c>
      <c r="C10" s="75">
        <f>428+166</f>
        <v>594</v>
      </c>
      <c r="D10" s="76">
        <f>1778.6+2085</f>
        <v>3863.6</v>
      </c>
      <c r="E10" s="76">
        <f>534+252.9</f>
        <v>786.9</v>
      </c>
    </row>
    <row r="11" spans="1:5" x14ac:dyDescent="0.25">
      <c r="A11" s="59" t="s">
        <v>89</v>
      </c>
      <c r="B11" s="75">
        <f>600+846.6</f>
        <v>1446.6</v>
      </c>
      <c r="C11" s="75">
        <f>72+156.39</f>
        <v>228.39</v>
      </c>
      <c r="D11" s="76">
        <f>50.35+341</f>
        <v>391.35</v>
      </c>
      <c r="E11" s="76">
        <f>6+43.64</f>
        <v>49.64</v>
      </c>
    </row>
    <row r="12" spans="1:5" x14ac:dyDescent="0.25">
      <c r="A12" s="59" t="s">
        <v>90</v>
      </c>
      <c r="B12" s="75">
        <f>26+72</f>
        <v>98</v>
      </c>
      <c r="C12" s="75">
        <f>114.75</f>
        <v>114.75</v>
      </c>
      <c r="D12" s="76">
        <f>1258.52+679.95</f>
        <v>1938.47</v>
      </c>
      <c r="E12" s="76">
        <f>231.1+36</f>
        <v>267.10000000000002</v>
      </c>
    </row>
    <row r="13" spans="1:5" x14ac:dyDescent="0.25">
      <c r="A13" s="60" t="s">
        <v>91</v>
      </c>
      <c r="B13" s="77">
        <f t="shared" ref="B13:E13" si="0">SUM(B10:B12)</f>
        <v>4104.1000000000004</v>
      </c>
      <c r="C13" s="77">
        <f t="shared" si="0"/>
        <v>937.14</v>
      </c>
      <c r="D13" s="78">
        <f t="shared" si="0"/>
        <v>6193.42</v>
      </c>
      <c r="E13" s="78">
        <f t="shared" si="0"/>
        <v>1103.6399999999999</v>
      </c>
    </row>
    <row r="14" spans="1:5" x14ac:dyDescent="0.25">
      <c r="A14" s="59"/>
      <c r="B14" s="75"/>
      <c r="C14" s="75"/>
      <c r="D14" s="76"/>
      <c r="E14" s="76"/>
    </row>
    <row r="15" spans="1:5" x14ac:dyDescent="0.25">
      <c r="A15" s="59" t="s">
        <v>92</v>
      </c>
      <c r="B15" s="75">
        <f>203.72+189.5+14</f>
        <v>407.22</v>
      </c>
      <c r="C15" s="75">
        <f>64+31.4+18</f>
        <v>113.4</v>
      </c>
      <c r="D15" s="76">
        <f>283.9+173</f>
        <v>456.9</v>
      </c>
      <c r="E15" s="76">
        <f>34.5+37.4</f>
        <v>71.900000000000006</v>
      </c>
    </row>
    <row r="16" spans="1:5" x14ac:dyDescent="0.25">
      <c r="A16" s="59" t="s">
        <v>93</v>
      </c>
      <c r="B16" s="75">
        <f>2244.07+74+678</f>
        <v>2996.07</v>
      </c>
      <c r="C16" s="75">
        <f>140.8+226.6</f>
        <v>367.4</v>
      </c>
      <c r="D16" s="76">
        <f>1102.72+231.1</f>
        <v>1333.82</v>
      </c>
      <c r="E16" s="76">
        <f>148.5+97.52</f>
        <v>246.01999999999998</v>
      </c>
    </row>
    <row r="17" spans="1:5" x14ac:dyDescent="0.25">
      <c r="A17" s="59" t="s">
        <v>94</v>
      </c>
      <c r="B17" s="75">
        <f>1870.86+1046.5</f>
        <v>2917.3599999999997</v>
      </c>
      <c r="C17" s="75">
        <f>325.8+175.2</f>
        <v>501</v>
      </c>
      <c r="D17" s="76">
        <f>1848.89+668</f>
        <v>2516.8900000000003</v>
      </c>
      <c r="E17" s="76">
        <f>306.55+68.7</f>
        <v>375.25</v>
      </c>
    </row>
    <row r="18" spans="1:5" x14ac:dyDescent="0.25">
      <c r="A18" s="60" t="s">
        <v>95</v>
      </c>
      <c r="B18" s="77">
        <f t="shared" ref="B18:E18" si="1">SUM(B15:B17)</f>
        <v>6320.65</v>
      </c>
      <c r="C18" s="77">
        <f t="shared" si="1"/>
        <v>981.8</v>
      </c>
      <c r="D18" s="78">
        <f t="shared" si="1"/>
        <v>4307.6100000000006</v>
      </c>
      <c r="E18" s="78">
        <f t="shared" si="1"/>
        <v>693.17</v>
      </c>
    </row>
    <row r="19" spans="1:5" x14ac:dyDescent="0.25">
      <c r="A19" s="59"/>
      <c r="B19" s="75"/>
      <c r="C19" s="75"/>
      <c r="D19" s="76"/>
      <c r="E19" s="76"/>
    </row>
    <row r="20" spans="1:5" x14ac:dyDescent="0.25">
      <c r="A20" s="59" t="s">
        <v>96</v>
      </c>
      <c r="B20" s="75">
        <f>787.88+499</f>
        <v>1286.8800000000001</v>
      </c>
      <c r="C20" s="75">
        <f>125.1+107.5</f>
        <v>232.6</v>
      </c>
      <c r="D20" s="76">
        <f>1036.9+751.7</f>
        <v>1788.6000000000001</v>
      </c>
      <c r="E20" s="76">
        <f>218.5+204.4</f>
        <v>422.9</v>
      </c>
    </row>
    <row r="21" spans="1:5" x14ac:dyDescent="0.25">
      <c r="A21" s="59" t="s">
        <v>97</v>
      </c>
      <c r="B21" s="75"/>
      <c r="C21" s="75"/>
      <c r="D21" s="76"/>
      <c r="E21" s="76"/>
    </row>
    <row r="22" spans="1:5" x14ac:dyDescent="0.25">
      <c r="A22" s="59" t="s">
        <v>98</v>
      </c>
      <c r="B22" s="75">
        <f>395.4+105.12+112.44+63.55</f>
        <v>676.51</v>
      </c>
      <c r="C22" s="75">
        <f>39.2+32.7</f>
        <v>71.900000000000006</v>
      </c>
      <c r="D22" s="76">
        <f>760.58+39.6+36+360+882</f>
        <v>2078.1800000000003</v>
      </c>
      <c r="E22" s="76">
        <f>57.5+98.7</f>
        <v>156.19999999999999</v>
      </c>
    </row>
    <row r="23" spans="1:5" x14ac:dyDescent="0.25">
      <c r="A23" s="60" t="s">
        <v>99</v>
      </c>
      <c r="B23" s="77">
        <f>SUM(B20:B22)</f>
        <v>1963.39</v>
      </c>
      <c r="C23" s="77">
        <f>SUM(C20:C22)</f>
        <v>304.5</v>
      </c>
      <c r="D23" s="78">
        <f>SUM(D20:D22)</f>
        <v>3866.7800000000007</v>
      </c>
      <c r="E23" s="78">
        <f>SUM(E20:E22)</f>
        <v>579.09999999999991</v>
      </c>
    </row>
    <row r="24" spans="1:5" x14ac:dyDescent="0.25">
      <c r="A24" s="59"/>
      <c r="B24" s="75"/>
      <c r="C24" s="75"/>
      <c r="D24" s="76"/>
      <c r="E24" s="76"/>
    </row>
    <row r="25" spans="1:5" x14ac:dyDescent="0.25">
      <c r="A25" s="59" t="s">
        <v>100</v>
      </c>
      <c r="B25" s="75">
        <f>918.58+64.97+105.47+494.9</f>
        <v>1583.92</v>
      </c>
      <c r="C25" s="75">
        <f>381+73.7</f>
        <v>454.7</v>
      </c>
      <c r="D25" s="76">
        <f>868.85+385.7</f>
        <v>1254.55</v>
      </c>
      <c r="E25" s="76">
        <f>80.5+81.02</f>
        <v>161.51999999999998</v>
      </c>
    </row>
    <row r="26" spans="1:5" x14ac:dyDescent="0.25">
      <c r="A26" s="59" t="s">
        <v>101</v>
      </c>
      <c r="B26" s="79">
        <f>648.2+280.95</f>
        <v>929.15000000000009</v>
      </c>
      <c r="C26" s="79">
        <v>111.5</v>
      </c>
      <c r="D26" s="76">
        <f>1446.9+32.4+36+449.1</f>
        <v>1964.4</v>
      </c>
      <c r="E26" s="76">
        <f>268.45+12</f>
        <v>280.45</v>
      </c>
    </row>
    <row r="27" spans="1:5" x14ac:dyDescent="0.25">
      <c r="A27" s="59" t="s">
        <v>102</v>
      </c>
      <c r="B27" s="79">
        <f>1808.87+336.4</f>
        <v>2145.27</v>
      </c>
      <c r="C27" s="79">
        <f>294.9+86.07</f>
        <v>380.96999999999997</v>
      </c>
      <c r="D27" s="76">
        <f>1944.9+602.1</f>
        <v>2547</v>
      </c>
      <c r="E27" s="76">
        <f>378.25+48.2</f>
        <v>426.45</v>
      </c>
    </row>
    <row r="28" spans="1:5" x14ac:dyDescent="0.25">
      <c r="A28" s="61" t="s">
        <v>103</v>
      </c>
      <c r="B28" s="77">
        <f t="shared" ref="B28:E28" si="2">SUM(B25:B27)</f>
        <v>4658.34</v>
      </c>
      <c r="C28" s="77">
        <f t="shared" si="2"/>
        <v>947.17000000000007</v>
      </c>
      <c r="D28" s="78">
        <f t="shared" si="2"/>
        <v>5765.95</v>
      </c>
      <c r="E28" s="78">
        <f t="shared" si="2"/>
        <v>868.42</v>
      </c>
    </row>
    <row r="29" spans="1:5" x14ac:dyDescent="0.25">
      <c r="A29" s="61"/>
      <c r="B29" s="77"/>
      <c r="C29" s="77"/>
      <c r="D29" s="78"/>
      <c r="E29" s="78"/>
    </row>
    <row r="30" spans="1:5" x14ac:dyDescent="0.25">
      <c r="A30" s="62"/>
      <c r="B30" s="75"/>
      <c r="C30" s="75"/>
      <c r="D30" s="76"/>
      <c r="E30" s="76"/>
    </row>
    <row r="31" spans="1:5" x14ac:dyDescent="0.25">
      <c r="A31" s="63" t="s">
        <v>104</v>
      </c>
      <c r="B31" s="80">
        <f t="shared" ref="B31:C31" si="3">+B28+B23+B18+B13+B30</f>
        <v>17046.480000000003</v>
      </c>
      <c r="C31" s="80">
        <f t="shared" si="3"/>
        <v>3170.61</v>
      </c>
      <c r="D31" s="81">
        <f t="shared" ref="D31:E31" si="4">D28+D23+D18+D13+D30</f>
        <v>20133.760000000002</v>
      </c>
      <c r="E31" s="81">
        <f t="shared" si="4"/>
        <v>3244.33</v>
      </c>
    </row>
    <row r="32" spans="1:5" x14ac:dyDescent="0.25">
      <c r="C32" s="64"/>
      <c r="E32" s="64"/>
    </row>
    <row r="33" spans="3:5" x14ac:dyDescent="0.25">
      <c r="C33" s="82">
        <f>B31+C31</f>
        <v>20217.090000000004</v>
      </c>
      <c r="E33" s="82">
        <f>D31+E31</f>
        <v>23378.090000000004</v>
      </c>
    </row>
  </sheetData>
  <mergeCells count="6">
    <mergeCell ref="B7:B9"/>
    <mergeCell ref="C7:C9"/>
    <mergeCell ref="D7:D9"/>
    <mergeCell ref="E7:E9"/>
    <mergeCell ref="B6:C6"/>
    <mergeCell ref="D6:E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FD8FD-48C0-48D0-AF71-E42A6F3DB291}">
  <sheetPr>
    <tabColor rgb="FF00B050"/>
  </sheetPr>
  <dimension ref="B1:V100"/>
  <sheetViews>
    <sheetView topLeftCell="A9" zoomScale="115" zoomScaleNormal="115" workbookViewId="0">
      <selection activeCell="B26" sqref="B26:B35"/>
    </sheetView>
  </sheetViews>
  <sheetFormatPr baseColWidth="10" defaultColWidth="10" defaultRowHeight="12.75" customHeight="1" x14ac:dyDescent="0.25"/>
  <cols>
    <col min="1" max="1" width="10" style="57" customWidth="1"/>
    <col min="2" max="2" width="17.83203125" style="57" customWidth="1"/>
    <col min="3" max="3" width="13.75" style="1" customWidth="1"/>
    <col min="4" max="7" width="10.25" style="3" customWidth="1"/>
    <col min="8" max="8" width="9.58203125" style="3" customWidth="1"/>
    <col min="9" max="9" width="10.25" style="3" customWidth="1"/>
    <col min="10" max="10" width="9.33203125" style="67" customWidth="1"/>
    <col min="11" max="11" width="8" style="67" customWidth="1"/>
    <col min="12" max="12" width="7.25" style="66" customWidth="1"/>
    <col min="13" max="13" width="8" style="67" customWidth="1"/>
    <col min="14" max="14" width="3.75" style="66" hidden="1" customWidth="1"/>
    <col min="15" max="15" width="10.25" style="66" hidden="1" customWidth="1"/>
    <col min="16" max="16" width="7.75" style="68" customWidth="1"/>
    <col min="17" max="17" width="7.83203125" style="65" customWidth="1"/>
    <col min="18" max="18" width="11" style="66" customWidth="1"/>
    <col min="19" max="19" width="7.33203125" style="66" customWidth="1"/>
    <col min="20" max="20" width="6.58203125" style="66" customWidth="1"/>
    <col min="21" max="21" width="10.58203125" style="66" customWidth="1"/>
    <col min="22" max="22" width="9.5" style="66" customWidth="1"/>
    <col min="23" max="23" width="10" style="57" customWidth="1"/>
    <col min="24" max="16384" width="10" style="57"/>
  </cols>
  <sheetData>
    <row r="1" spans="2:22" ht="20.149999999999999" customHeight="1" x14ac:dyDescent="0.25">
      <c r="B1" s="96" t="s">
        <v>85</v>
      </c>
      <c r="C1" s="96"/>
      <c r="D1" s="96"/>
      <c r="E1" s="96"/>
      <c r="F1" s="96"/>
      <c r="G1" s="96"/>
      <c r="H1" s="96"/>
      <c r="I1" s="96"/>
      <c r="J1" s="57"/>
      <c r="K1" s="57"/>
      <c r="L1" s="57"/>
      <c r="M1" s="57"/>
      <c r="N1" s="57"/>
      <c r="O1" s="57"/>
      <c r="P1" s="57"/>
    </row>
    <row r="2" spans="2:22" ht="11.15" customHeight="1" x14ac:dyDescent="0.25">
      <c r="J2" s="57"/>
      <c r="K2" s="57"/>
      <c r="L2" s="57"/>
      <c r="M2" s="57"/>
      <c r="N2" s="57"/>
      <c r="O2" s="57"/>
      <c r="P2" s="57"/>
      <c r="S2" s="57"/>
      <c r="T2" s="57"/>
      <c r="U2" s="57"/>
      <c r="V2" s="57"/>
    </row>
    <row r="3" spans="2:22" s="72" customFormat="1" ht="12.75" customHeight="1" x14ac:dyDescent="0.25">
      <c r="B3" s="97" t="s">
        <v>0</v>
      </c>
      <c r="C3" s="97" t="s">
        <v>1</v>
      </c>
      <c r="D3" s="98">
        <v>2022</v>
      </c>
      <c r="E3" s="98">
        <v>2023</v>
      </c>
      <c r="F3" s="98">
        <v>2024</v>
      </c>
      <c r="G3" s="99" t="s">
        <v>2</v>
      </c>
      <c r="H3" s="14"/>
      <c r="I3" s="98" t="s">
        <v>3</v>
      </c>
      <c r="R3" s="65"/>
    </row>
    <row r="4" spans="2:22" s="72" customFormat="1" ht="13.5" customHeight="1" x14ac:dyDescent="0.25">
      <c r="B4" s="97"/>
      <c r="C4" s="97"/>
      <c r="D4" s="98"/>
      <c r="E4" s="98"/>
      <c r="F4" s="98"/>
      <c r="G4" s="99"/>
      <c r="H4" s="46"/>
      <c r="I4" s="98"/>
      <c r="R4" s="65"/>
    </row>
    <row r="5" spans="2:22" s="72" customFormat="1" ht="15" customHeight="1" x14ac:dyDescent="0.25">
      <c r="B5" s="97"/>
      <c r="C5" s="97"/>
      <c r="D5" s="98"/>
      <c r="E5" s="98"/>
      <c r="F5" s="98"/>
      <c r="G5" s="99"/>
      <c r="H5" s="47"/>
      <c r="I5" s="98"/>
      <c r="R5" s="65"/>
    </row>
    <row r="6" spans="2:22" ht="12.75" customHeight="1" x14ac:dyDescent="0.25">
      <c r="B6" s="69"/>
      <c r="C6" s="48"/>
      <c r="D6" s="6"/>
      <c r="E6" s="6"/>
      <c r="F6" s="6"/>
      <c r="G6" s="6"/>
      <c r="H6" s="6"/>
      <c r="I6" s="6"/>
      <c r="J6" s="57"/>
      <c r="K6" s="57"/>
      <c r="L6" s="57"/>
      <c r="M6" s="57"/>
      <c r="N6" s="57"/>
      <c r="O6" s="57"/>
      <c r="P6" s="57"/>
      <c r="Q6" s="57"/>
      <c r="S6" s="57"/>
      <c r="T6" s="57"/>
      <c r="U6" s="57"/>
      <c r="V6" s="57"/>
    </row>
    <row r="7" spans="2:22" ht="12.75" customHeight="1" x14ac:dyDescent="0.25">
      <c r="B7" s="69" t="s">
        <v>4</v>
      </c>
      <c r="C7" s="49">
        <f>I7/I39</f>
        <v>3.3442491546791332E-2</v>
      </c>
      <c r="D7" s="35">
        <v>4293</v>
      </c>
      <c r="E7" s="35">
        <v>4726</v>
      </c>
      <c r="F7" s="35">
        <v>3056</v>
      </c>
      <c r="G7" s="35">
        <v>1109</v>
      </c>
      <c r="H7" s="35"/>
      <c r="I7" s="35">
        <f t="shared" ref="I7:I22" si="0">SUM(D7:G7)</f>
        <v>13184</v>
      </c>
      <c r="J7" s="57"/>
      <c r="K7" s="57"/>
      <c r="L7" s="71"/>
      <c r="M7" s="71"/>
      <c r="N7" s="71"/>
      <c r="O7" s="71"/>
      <c r="P7" s="71"/>
      <c r="Q7" s="57"/>
      <c r="S7" s="57"/>
      <c r="T7" s="57"/>
      <c r="U7" s="57"/>
      <c r="V7" s="57"/>
    </row>
    <row r="8" spans="2:22" ht="12.75" customHeight="1" x14ac:dyDescent="0.25">
      <c r="B8" s="69" t="s">
        <v>5</v>
      </c>
      <c r="C8" s="49">
        <f>I8/I39</f>
        <v>3.0439160995259101E-5</v>
      </c>
      <c r="D8" s="35"/>
      <c r="E8" s="35">
        <v>5</v>
      </c>
      <c r="F8" s="35">
        <v>7</v>
      </c>
      <c r="G8" s="35"/>
      <c r="H8" s="35"/>
      <c r="I8" s="35">
        <f t="shared" si="0"/>
        <v>12</v>
      </c>
      <c r="J8" s="57"/>
      <c r="K8" s="57"/>
      <c r="L8" s="57"/>
      <c r="M8" s="57"/>
      <c r="N8" s="57"/>
      <c r="O8" s="57"/>
      <c r="P8" s="57"/>
      <c r="Q8" s="57"/>
      <c r="S8" s="57"/>
    </row>
    <row r="9" spans="2:22" ht="12.75" customHeight="1" x14ac:dyDescent="0.25">
      <c r="B9" s="69" t="s">
        <v>6</v>
      </c>
      <c r="C9" s="49">
        <f>I9/I39</f>
        <v>0.12976975311303837</v>
      </c>
      <c r="D9" s="35">
        <v>15658</v>
      </c>
      <c r="E9" s="35">
        <v>15353</v>
      </c>
      <c r="F9" s="35">
        <v>14854</v>
      </c>
      <c r="G9" s="35">
        <v>5294</v>
      </c>
      <c r="H9" s="35"/>
      <c r="I9" s="35">
        <f t="shared" si="0"/>
        <v>51159</v>
      </c>
      <c r="J9" s="57"/>
      <c r="K9" s="57"/>
      <c r="L9" s="71"/>
      <c r="M9" s="57"/>
      <c r="N9" s="57"/>
      <c r="O9" s="57"/>
      <c r="P9" s="57"/>
      <c r="Q9" s="57"/>
      <c r="S9" s="57"/>
    </row>
    <row r="10" spans="2:22" ht="12.75" customHeight="1" x14ac:dyDescent="0.25">
      <c r="B10" s="69" t="s">
        <v>7</v>
      </c>
      <c r="C10" s="49">
        <f>I10/I39</f>
        <v>1.7198125962321392E-3</v>
      </c>
      <c r="D10" s="35">
        <v>75</v>
      </c>
      <c r="E10" s="35">
        <v>281</v>
      </c>
      <c r="F10" s="35">
        <v>248</v>
      </c>
      <c r="G10" s="35">
        <v>74</v>
      </c>
      <c r="H10" s="35"/>
      <c r="I10" s="35">
        <f t="shared" si="0"/>
        <v>678</v>
      </c>
      <c r="J10" s="57"/>
      <c r="K10" s="57"/>
      <c r="L10" s="57"/>
      <c r="M10" s="57"/>
      <c r="N10" s="57"/>
      <c r="O10" s="57"/>
      <c r="P10" s="57"/>
      <c r="Q10" s="57"/>
      <c r="S10" s="57"/>
    </row>
    <row r="11" spans="2:22" ht="12.75" customHeight="1" x14ac:dyDescent="0.25">
      <c r="B11" s="69" t="s">
        <v>8</v>
      </c>
      <c r="C11" s="49">
        <f>I11/I39</f>
        <v>0.40965022867419698</v>
      </c>
      <c r="D11" s="35">
        <v>42365</v>
      </c>
      <c r="E11" s="35">
        <v>46206</v>
      </c>
      <c r="F11" s="35">
        <v>50978</v>
      </c>
      <c r="G11" s="35">
        <v>21947</v>
      </c>
      <c r="H11" s="35"/>
      <c r="I11" s="35">
        <f t="shared" si="0"/>
        <v>161496</v>
      </c>
      <c r="J11" s="57"/>
      <c r="K11" s="57"/>
      <c r="L11" s="57"/>
      <c r="M11" s="57"/>
      <c r="N11" s="57"/>
      <c r="O11" s="57"/>
      <c r="P11" s="57"/>
      <c r="Q11" s="57"/>
      <c r="S11" s="57"/>
    </row>
    <row r="12" spans="2:22" ht="12.75" customHeight="1" x14ac:dyDescent="0.25">
      <c r="B12" s="69" t="s">
        <v>9</v>
      </c>
      <c r="C12" s="49">
        <f>I12/I39</f>
        <v>2.1992293819074701E-3</v>
      </c>
      <c r="D12" s="35">
        <v>72</v>
      </c>
      <c r="E12" s="35">
        <v>330</v>
      </c>
      <c r="F12" s="35">
        <v>346</v>
      </c>
      <c r="G12" s="35">
        <v>119</v>
      </c>
      <c r="H12" s="35"/>
      <c r="I12" s="35">
        <f t="shared" si="0"/>
        <v>867</v>
      </c>
      <c r="J12" s="57"/>
      <c r="K12" s="57"/>
      <c r="L12" s="57"/>
      <c r="M12" s="57"/>
      <c r="N12" s="57"/>
      <c r="O12" s="57"/>
      <c r="P12" s="57"/>
      <c r="Q12" s="57"/>
      <c r="S12" s="57"/>
    </row>
    <row r="13" spans="2:22" ht="12.75" customHeight="1" x14ac:dyDescent="0.25">
      <c r="B13" s="69" t="s">
        <v>10</v>
      </c>
      <c r="C13" s="49">
        <f>I13/I39</f>
        <v>4.2939509777312174E-2</v>
      </c>
      <c r="D13" s="35">
        <v>5929</v>
      </c>
      <c r="E13" s="35">
        <v>4328</v>
      </c>
      <c r="F13" s="35">
        <v>4694</v>
      </c>
      <c r="G13" s="35">
        <v>1977</v>
      </c>
      <c r="H13" s="35"/>
      <c r="I13" s="35">
        <f t="shared" si="0"/>
        <v>16928</v>
      </c>
      <c r="J13" s="57"/>
      <c r="K13" s="57"/>
      <c r="L13" s="57"/>
      <c r="M13" s="57"/>
      <c r="N13" s="57"/>
      <c r="O13" s="57"/>
      <c r="P13" s="57"/>
      <c r="Q13" s="57"/>
      <c r="S13" s="57"/>
    </row>
    <row r="14" spans="2:22" ht="12.75" customHeight="1" x14ac:dyDescent="0.25">
      <c r="B14" s="69" t="s">
        <v>11</v>
      </c>
      <c r="C14" s="49">
        <f>I14/I39</f>
        <v>1.083126812081303E-3</v>
      </c>
      <c r="D14" s="35">
        <v>25</v>
      </c>
      <c r="E14" s="35">
        <v>152</v>
      </c>
      <c r="F14" s="35">
        <v>208</v>
      </c>
      <c r="G14" s="35">
        <v>42</v>
      </c>
      <c r="H14" s="35"/>
      <c r="I14" s="35">
        <f t="shared" si="0"/>
        <v>427</v>
      </c>
      <c r="J14" s="57"/>
      <c r="K14" s="57"/>
      <c r="L14" s="57"/>
      <c r="M14" s="57"/>
      <c r="N14" s="57"/>
      <c r="O14" s="57"/>
      <c r="P14" s="57"/>
      <c r="Q14" s="57"/>
      <c r="S14" s="57"/>
    </row>
    <row r="15" spans="2:22" ht="12.75" customHeight="1" x14ac:dyDescent="0.25">
      <c r="B15" s="69" t="s">
        <v>12</v>
      </c>
      <c r="C15" s="49">
        <f>I15/I39</f>
        <v>3.1167164262395713E-2</v>
      </c>
      <c r="D15" s="35">
        <v>2632</v>
      </c>
      <c r="E15" s="35">
        <v>3994</v>
      </c>
      <c r="F15" s="35">
        <v>4093</v>
      </c>
      <c r="G15" s="35">
        <v>1568</v>
      </c>
      <c r="H15" s="35"/>
      <c r="I15" s="35">
        <f t="shared" si="0"/>
        <v>12287</v>
      </c>
      <c r="J15" s="57"/>
      <c r="K15" s="57"/>
      <c r="L15" s="57"/>
      <c r="M15" s="57"/>
      <c r="N15" s="57"/>
      <c r="O15" s="57"/>
      <c r="P15" s="57"/>
      <c r="Q15" s="57"/>
      <c r="S15" s="57"/>
    </row>
    <row r="16" spans="2:22" ht="12.75" customHeight="1" x14ac:dyDescent="0.25">
      <c r="B16" s="69" t="s">
        <v>13</v>
      </c>
      <c r="C16" s="49">
        <f>I16/I39</f>
        <v>3.5512354494468951E-5</v>
      </c>
      <c r="D16" s="35">
        <v>1</v>
      </c>
      <c r="E16" s="35">
        <v>4</v>
      </c>
      <c r="F16" s="35">
        <v>7</v>
      </c>
      <c r="G16" s="35">
        <v>2</v>
      </c>
      <c r="H16" s="35"/>
      <c r="I16" s="35">
        <f t="shared" si="0"/>
        <v>14</v>
      </c>
      <c r="J16" s="57"/>
      <c r="K16" s="57"/>
      <c r="L16" s="57"/>
      <c r="M16" s="57"/>
      <c r="N16" s="57"/>
      <c r="O16" s="57"/>
      <c r="P16" s="57"/>
      <c r="Q16" s="57"/>
      <c r="S16" s="57"/>
    </row>
    <row r="17" spans="2:19" ht="12.75" customHeight="1" x14ac:dyDescent="0.25">
      <c r="B17" s="69" t="s">
        <v>14</v>
      </c>
      <c r="C17" s="49">
        <f>I17/I39</f>
        <v>1.9407501731227281E-2</v>
      </c>
      <c r="D17" s="35">
        <v>2548</v>
      </c>
      <c r="E17" s="35">
        <v>2143</v>
      </c>
      <c r="F17" s="35">
        <v>1966</v>
      </c>
      <c r="G17" s="35">
        <v>994</v>
      </c>
      <c r="H17" s="35"/>
      <c r="I17" s="35">
        <f t="shared" si="0"/>
        <v>7651</v>
      </c>
      <c r="J17" s="57"/>
      <c r="K17" s="57"/>
      <c r="L17" s="57"/>
      <c r="M17" s="57"/>
      <c r="N17" s="57"/>
      <c r="O17" s="57"/>
      <c r="P17" s="57"/>
      <c r="Q17" s="57"/>
      <c r="R17" s="57"/>
      <c r="S17" s="57"/>
    </row>
    <row r="18" spans="2:19" ht="12.75" customHeight="1" x14ac:dyDescent="0.25">
      <c r="B18" s="69" t="s">
        <v>15</v>
      </c>
      <c r="C18" s="49">
        <f>I18/I39</f>
        <v>1.521958049762955E-5</v>
      </c>
      <c r="D18" s="35">
        <v>1</v>
      </c>
      <c r="E18" s="40">
        <v>1</v>
      </c>
      <c r="F18" s="35">
        <v>4</v>
      </c>
      <c r="G18" s="50"/>
      <c r="H18" s="35"/>
      <c r="I18" s="35">
        <f t="shared" si="0"/>
        <v>6</v>
      </c>
      <c r="J18" s="57"/>
      <c r="K18" s="57"/>
      <c r="L18" s="57"/>
      <c r="M18" s="57"/>
      <c r="N18" s="57"/>
      <c r="O18" s="57"/>
      <c r="P18" s="57"/>
      <c r="Q18" s="57"/>
      <c r="S18" s="57"/>
    </row>
    <row r="19" spans="2:19" ht="12.75" customHeight="1" x14ac:dyDescent="0.25">
      <c r="B19" s="69" t="s">
        <v>16</v>
      </c>
      <c r="C19" s="49">
        <f>I19/I39</f>
        <v>1.5607679800319104E-2</v>
      </c>
      <c r="D19" s="35">
        <v>855</v>
      </c>
      <c r="E19" s="40">
        <v>2162</v>
      </c>
      <c r="F19" s="35">
        <v>2170</v>
      </c>
      <c r="G19" s="40">
        <v>966</v>
      </c>
      <c r="H19" s="35"/>
      <c r="I19" s="35">
        <f t="shared" si="0"/>
        <v>6153</v>
      </c>
      <c r="J19" s="57"/>
      <c r="K19" s="57"/>
      <c r="L19" s="57"/>
      <c r="M19" s="57"/>
      <c r="N19" s="57"/>
      <c r="O19" s="57"/>
      <c r="P19" s="57"/>
      <c r="Q19" s="57"/>
      <c r="R19" s="57"/>
      <c r="S19" s="57"/>
    </row>
    <row r="20" spans="2:19" ht="12.75" customHeight="1" x14ac:dyDescent="0.25">
      <c r="B20" s="69" t="s">
        <v>17</v>
      </c>
      <c r="C20" s="49">
        <f>I20/I39</f>
        <v>3.2975757744864029E-5</v>
      </c>
      <c r="D20" s="35">
        <v>1</v>
      </c>
      <c r="E20" s="40">
        <v>3</v>
      </c>
      <c r="F20" s="35">
        <v>6</v>
      </c>
      <c r="G20" s="40">
        <v>3</v>
      </c>
      <c r="H20" s="35"/>
      <c r="I20" s="35">
        <f t="shared" si="0"/>
        <v>13</v>
      </c>
      <c r="J20" s="57"/>
      <c r="K20" s="57"/>
      <c r="L20" s="57"/>
      <c r="M20" s="57"/>
      <c r="N20" s="57"/>
      <c r="O20" s="57"/>
      <c r="P20" s="57"/>
      <c r="Q20" s="57"/>
      <c r="R20" s="57"/>
      <c r="S20" s="57"/>
    </row>
    <row r="21" spans="2:19" ht="12.75" customHeight="1" x14ac:dyDescent="0.25">
      <c r="B21" s="69" t="s">
        <v>18</v>
      </c>
      <c r="C21" s="49">
        <f>I21/I39</f>
        <v>1.0653706348340685E-3</v>
      </c>
      <c r="D21" s="35">
        <v>43</v>
      </c>
      <c r="E21" s="40">
        <v>194</v>
      </c>
      <c r="F21" s="35">
        <v>157</v>
      </c>
      <c r="G21" s="40">
        <v>26</v>
      </c>
      <c r="H21" s="35"/>
      <c r="I21" s="35">
        <f t="shared" si="0"/>
        <v>420</v>
      </c>
      <c r="J21" s="57"/>
      <c r="K21" s="57"/>
      <c r="L21" s="57"/>
      <c r="M21" s="57"/>
      <c r="N21" s="57"/>
      <c r="O21" s="57"/>
      <c r="P21" s="57"/>
      <c r="Q21" s="57"/>
      <c r="R21" s="57"/>
      <c r="S21" s="57"/>
    </row>
    <row r="22" spans="2:19" s="66" customFormat="1" ht="12.75" customHeight="1" x14ac:dyDescent="0.25">
      <c r="B22" s="67" t="s">
        <v>19</v>
      </c>
      <c r="C22" s="49">
        <f>I22/I39</f>
        <v>8.2946713712081055E-4</v>
      </c>
      <c r="D22" s="35">
        <v>75</v>
      </c>
      <c r="E22" s="40">
        <v>85</v>
      </c>
      <c r="F22" s="35">
        <v>111</v>
      </c>
      <c r="G22" s="40">
        <v>56</v>
      </c>
      <c r="H22" s="35"/>
      <c r="I22" s="35">
        <f t="shared" si="0"/>
        <v>327</v>
      </c>
      <c r="J22" s="57"/>
      <c r="K22" s="57"/>
      <c r="L22" s="57"/>
      <c r="M22" s="57"/>
      <c r="N22" s="57"/>
      <c r="O22" s="57"/>
      <c r="P22" s="57"/>
      <c r="Q22" s="57"/>
      <c r="R22" s="57"/>
      <c r="S22" s="57"/>
    </row>
    <row r="23" spans="2:19" s="66" customFormat="1" ht="12.75" customHeight="1" x14ac:dyDescent="0.25">
      <c r="B23" s="67"/>
      <c r="C23" s="49"/>
      <c r="D23" s="35"/>
      <c r="E23" s="40"/>
      <c r="F23" s="35"/>
      <c r="G23" s="40"/>
      <c r="H23" s="35"/>
      <c r="I23" s="35"/>
      <c r="J23" s="57"/>
      <c r="K23" s="57"/>
      <c r="L23" s="57"/>
      <c r="M23" s="57"/>
      <c r="N23" s="57"/>
      <c r="O23" s="57"/>
      <c r="P23" s="57"/>
      <c r="Q23" s="57"/>
      <c r="R23" s="57"/>
      <c r="S23" s="57"/>
    </row>
    <row r="24" spans="2:19" s="66" customFormat="1" ht="12.75" customHeight="1" x14ac:dyDescent="0.25">
      <c r="B24" s="73" t="s">
        <v>20</v>
      </c>
      <c r="C24" s="51">
        <f>I24/I39</f>
        <v>0.6889954823211889</v>
      </c>
      <c r="D24" s="38">
        <f>SUM(D7:D23)</f>
        <v>74573</v>
      </c>
      <c r="E24" s="38">
        <f>SUM(E7:E23)</f>
        <v>79967</v>
      </c>
      <c r="F24" s="38">
        <f>SUM(F7:F23)</f>
        <v>82905</v>
      </c>
      <c r="G24" s="52">
        <f>SUM(G7:G23)</f>
        <v>34177</v>
      </c>
      <c r="H24" s="38"/>
      <c r="I24" s="38">
        <f>SUM(D24:G24)</f>
        <v>271622</v>
      </c>
      <c r="J24" s="57"/>
      <c r="K24" s="57"/>
      <c r="L24" s="57"/>
      <c r="M24" s="57"/>
      <c r="N24" s="57"/>
      <c r="O24" s="57"/>
      <c r="P24" s="57"/>
      <c r="Q24" s="57"/>
      <c r="R24" s="57"/>
      <c r="S24" s="57"/>
    </row>
    <row r="25" spans="2:19" s="66" customFormat="1" ht="12.75" customHeight="1" x14ac:dyDescent="0.25">
      <c r="B25" s="67"/>
      <c r="C25" s="49"/>
      <c r="D25" s="35"/>
      <c r="E25" s="40"/>
      <c r="F25" s="35"/>
      <c r="G25" s="40"/>
      <c r="H25" s="35"/>
      <c r="I25" s="35"/>
      <c r="J25" s="57"/>
      <c r="K25" s="57"/>
      <c r="L25" s="57"/>
      <c r="M25" s="57"/>
      <c r="N25" s="57"/>
      <c r="O25" s="57"/>
      <c r="P25" s="57"/>
      <c r="Q25" s="57"/>
      <c r="R25" s="57"/>
      <c r="S25" s="57"/>
    </row>
    <row r="26" spans="2:19" s="66" customFormat="1" ht="12.75" customHeight="1" x14ac:dyDescent="0.25">
      <c r="B26" s="67" t="s">
        <v>21</v>
      </c>
      <c r="C26" s="49">
        <f>I26/I39</f>
        <v>0.12646203095155353</v>
      </c>
      <c r="D26" s="35">
        <v>13758</v>
      </c>
      <c r="E26" s="40">
        <v>14843</v>
      </c>
      <c r="F26" s="35">
        <v>14824</v>
      </c>
      <c r="G26" s="40">
        <v>6430</v>
      </c>
      <c r="H26" s="35"/>
      <c r="I26" s="35">
        <f t="shared" ref="I26:I35" si="1">SUM(D26:G26)</f>
        <v>49855</v>
      </c>
      <c r="J26" s="57"/>
      <c r="K26" s="57"/>
      <c r="L26" s="57"/>
      <c r="M26" s="57"/>
      <c r="N26" s="57"/>
      <c r="O26" s="57"/>
      <c r="P26" s="57"/>
      <c r="Q26" s="57"/>
      <c r="R26" s="57"/>
      <c r="S26" s="57"/>
    </row>
    <row r="27" spans="2:19" s="66" customFormat="1" ht="12.75" customHeight="1" x14ac:dyDescent="0.25">
      <c r="B27" s="67" t="s">
        <v>22</v>
      </c>
      <c r="C27" s="49">
        <f>I27/I39</f>
        <v>2.4858648146128265E-4</v>
      </c>
      <c r="D27" s="35">
        <v>25</v>
      </c>
      <c r="E27" s="40">
        <v>33</v>
      </c>
      <c r="F27" s="35">
        <v>30</v>
      </c>
      <c r="G27" s="40">
        <v>10</v>
      </c>
      <c r="H27" s="35"/>
      <c r="I27" s="35">
        <f t="shared" si="1"/>
        <v>98</v>
      </c>
      <c r="J27" s="57"/>
      <c r="K27" s="57"/>
      <c r="L27" s="57"/>
      <c r="M27" s="57"/>
      <c r="N27" s="57"/>
      <c r="O27" s="57"/>
      <c r="P27" s="57"/>
      <c r="Q27" s="57"/>
      <c r="R27" s="57"/>
      <c r="S27" s="57"/>
    </row>
    <row r="28" spans="2:19" s="66" customFormat="1" ht="12.75" customHeight="1" x14ac:dyDescent="0.25">
      <c r="B28" s="67" t="s">
        <v>23</v>
      </c>
      <c r="C28" s="49">
        <f>I28/I39</f>
        <v>2.2829370746444325E-4</v>
      </c>
      <c r="D28" s="35">
        <v>47</v>
      </c>
      <c r="E28" s="40">
        <v>35</v>
      </c>
      <c r="F28" s="35">
        <v>7</v>
      </c>
      <c r="G28" s="40">
        <v>1</v>
      </c>
      <c r="H28" s="35"/>
      <c r="I28" s="35">
        <f t="shared" si="1"/>
        <v>90</v>
      </c>
      <c r="J28" s="57"/>
      <c r="K28" s="57"/>
      <c r="L28" s="57"/>
      <c r="M28" s="57"/>
      <c r="N28" s="57"/>
      <c r="O28" s="57"/>
      <c r="P28" s="57"/>
      <c r="Q28" s="57"/>
      <c r="R28" s="57"/>
      <c r="S28" s="57"/>
    </row>
    <row r="29" spans="2:19" s="66" customFormat="1" ht="12.75" customHeight="1" x14ac:dyDescent="0.25">
      <c r="B29" s="67" t="s">
        <v>24</v>
      </c>
      <c r="C29" s="49">
        <f>I29/I39</f>
        <v>9.1317482985777302E-5</v>
      </c>
      <c r="D29" s="35">
        <v>23</v>
      </c>
      <c r="E29" s="40">
        <v>6</v>
      </c>
      <c r="F29" s="35">
        <v>7</v>
      </c>
      <c r="G29" s="40"/>
      <c r="H29" s="35"/>
      <c r="I29" s="35">
        <f t="shared" si="1"/>
        <v>36</v>
      </c>
      <c r="J29" s="57"/>
      <c r="K29" s="57"/>
      <c r="L29" s="57"/>
      <c r="M29" s="57"/>
      <c r="N29" s="57"/>
      <c r="O29" s="57"/>
      <c r="P29" s="57"/>
      <c r="Q29" s="57"/>
      <c r="R29" s="57"/>
      <c r="S29" s="57"/>
    </row>
    <row r="30" spans="2:19" s="66" customFormat="1" ht="12.75" customHeight="1" x14ac:dyDescent="0.25">
      <c r="B30" s="67" t="s">
        <v>25</v>
      </c>
      <c r="C30" s="49">
        <f>I30/I39</f>
        <v>6.0624662315557712E-4</v>
      </c>
      <c r="D30" s="35">
        <v>9</v>
      </c>
      <c r="E30" s="40">
        <v>29</v>
      </c>
      <c r="F30" s="35">
        <v>136</v>
      </c>
      <c r="G30" s="40">
        <v>65</v>
      </c>
      <c r="H30" s="35"/>
      <c r="I30" s="35">
        <f t="shared" si="1"/>
        <v>239</v>
      </c>
      <c r="J30" s="57"/>
      <c r="K30" s="57"/>
      <c r="L30" s="57"/>
      <c r="M30" s="57"/>
      <c r="N30" s="57"/>
      <c r="O30" s="57"/>
      <c r="P30" s="57"/>
      <c r="Q30" s="57"/>
      <c r="R30" s="57"/>
      <c r="S30" s="57"/>
    </row>
    <row r="31" spans="2:19" s="66" customFormat="1" ht="12.75" customHeight="1" x14ac:dyDescent="0.25">
      <c r="B31" s="67" t="s">
        <v>26</v>
      </c>
      <c r="C31" s="49">
        <f>I31/I39</f>
        <v>3.0185501320298608E-4</v>
      </c>
      <c r="D31" s="35"/>
      <c r="E31" s="40">
        <v>34</v>
      </c>
      <c r="F31" s="35">
        <v>61</v>
      </c>
      <c r="G31" s="40">
        <v>24</v>
      </c>
      <c r="H31" s="35"/>
      <c r="I31" s="35">
        <f t="shared" si="1"/>
        <v>119</v>
      </c>
      <c r="J31" s="57"/>
      <c r="K31" s="57"/>
      <c r="L31" s="57"/>
      <c r="M31" s="57"/>
      <c r="N31" s="57"/>
      <c r="O31" s="57"/>
      <c r="P31" s="57"/>
      <c r="Q31" s="57"/>
      <c r="R31" s="57"/>
      <c r="S31" s="57"/>
    </row>
    <row r="32" spans="2:19" s="66" customFormat="1" ht="12.75" customHeight="1" x14ac:dyDescent="0.25">
      <c r="B32" s="67" t="s">
        <v>27</v>
      </c>
      <c r="C32" s="49">
        <f>I32/I39</f>
        <v>2.6634265870851713E-3</v>
      </c>
      <c r="D32" s="35">
        <v>216</v>
      </c>
      <c r="E32" s="40">
        <v>318</v>
      </c>
      <c r="F32" s="35">
        <v>459</v>
      </c>
      <c r="G32" s="40">
        <v>57</v>
      </c>
      <c r="H32" s="35"/>
      <c r="I32" s="35">
        <f t="shared" si="1"/>
        <v>1050</v>
      </c>
      <c r="J32" s="57"/>
      <c r="K32" s="57"/>
      <c r="L32" s="57"/>
      <c r="M32" s="57"/>
      <c r="N32" s="57"/>
      <c r="O32" s="57"/>
      <c r="P32" s="57"/>
      <c r="Q32" s="57"/>
      <c r="R32" s="57"/>
      <c r="S32" s="57"/>
    </row>
    <row r="33" spans="2:19" s="66" customFormat="1" ht="12.75" customHeight="1" x14ac:dyDescent="0.25">
      <c r="B33" s="67" t="s">
        <v>28</v>
      </c>
      <c r="C33" s="49">
        <f>I33/I39</f>
        <v>3.5996844473643493E-2</v>
      </c>
      <c r="D33" s="35">
        <v>11404</v>
      </c>
      <c r="E33" s="40">
        <v>2491</v>
      </c>
      <c r="F33" s="35">
        <v>244</v>
      </c>
      <c r="G33" s="40">
        <v>52</v>
      </c>
      <c r="H33" s="35"/>
      <c r="I33" s="35">
        <f t="shared" si="1"/>
        <v>14191</v>
      </c>
      <c r="J33" s="57"/>
      <c r="K33" s="57"/>
      <c r="L33" s="57"/>
      <c r="M33" s="57"/>
      <c r="N33" s="57"/>
      <c r="O33" s="57"/>
      <c r="P33" s="57"/>
      <c r="Q33" s="57"/>
      <c r="R33" s="57"/>
      <c r="S33" s="57"/>
    </row>
    <row r="34" spans="2:19" s="66" customFormat="1" ht="12.75" customHeight="1" x14ac:dyDescent="0.25">
      <c r="B34" s="67" t="s">
        <v>29</v>
      </c>
      <c r="C34" s="49">
        <f>I34/I39</f>
        <v>7.0509779848768106E-2</v>
      </c>
      <c r="D34" s="35"/>
      <c r="E34" s="40">
        <v>9725</v>
      </c>
      <c r="F34" s="35">
        <v>13376</v>
      </c>
      <c r="G34" s="40">
        <v>4696</v>
      </c>
      <c r="H34" s="35"/>
      <c r="I34" s="35">
        <f t="shared" si="1"/>
        <v>27797</v>
      </c>
      <c r="J34" s="57"/>
      <c r="K34" s="57"/>
      <c r="L34" s="57"/>
      <c r="M34" s="57"/>
      <c r="N34" s="57"/>
      <c r="O34" s="57"/>
      <c r="P34" s="57"/>
      <c r="Q34" s="57"/>
      <c r="R34" s="57"/>
      <c r="S34" s="57"/>
    </row>
    <row r="35" spans="2:19" s="66" customFormat="1" ht="12.75" customHeight="1" x14ac:dyDescent="0.25">
      <c r="B35" s="67" t="s">
        <v>30</v>
      </c>
      <c r="C35" s="49">
        <f>I35/I39</f>
        <v>7.3896136509490673E-2</v>
      </c>
      <c r="D35" s="35">
        <v>8031</v>
      </c>
      <c r="E35" s="40">
        <v>8735</v>
      </c>
      <c r="F35" s="35">
        <v>8593</v>
      </c>
      <c r="G35" s="40">
        <v>3773</v>
      </c>
      <c r="H35" s="35"/>
      <c r="I35" s="35">
        <f t="shared" si="1"/>
        <v>29132</v>
      </c>
      <c r="J35" s="57"/>
      <c r="K35" s="57"/>
      <c r="L35" s="57"/>
      <c r="M35" s="57"/>
      <c r="N35" s="57"/>
      <c r="O35" s="57"/>
      <c r="P35" s="57"/>
      <c r="Q35" s="57"/>
      <c r="R35" s="57"/>
      <c r="S35" s="57"/>
    </row>
    <row r="36" spans="2:19" s="66" customFormat="1" ht="12.75" customHeight="1" x14ac:dyDescent="0.25">
      <c r="B36" s="67"/>
      <c r="C36" s="49"/>
      <c r="D36" s="35"/>
      <c r="E36" s="40"/>
      <c r="F36" s="35"/>
      <c r="G36" s="40"/>
      <c r="H36" s="35"/>
      <c r="I36" s="35"/>
      <c r="J36" s="57"/>
      <c r="K36" s="57"/>
      <c r="L36" s="57"/>
      <c r="M36" s="57"/>
      <c r="N36" s="57"/>
      <c r="O36" s="57"/>
      <c r="P36" s="57"/>
      <c r="Q36" s="57"/>
      <c r="R36" s="57"/>
      <c r="S36" s="57"/>
    </row>
    <row r="37" spans="2:19" s="66" customFormat="1" ht="12.75" customHeight="1" x14ac:dyDescent="0.25">
      <c r="B37" s="73" t="s">
        <v>31</v>
      </c>
      <c r="C37" s="51">
        <f>I37/I39</f>
        <v>0.31100451767881104</v>
      </c>
      <c r="D37" s="38">
        <f>SUM(D26:D36)</f>
        <v>33513</v>
      </c>
      <c r="E37" s="38">
        <f>SUM(E26:E36)</f>
        <v>36249</v>
      </c>
      <c r="F37" s="38">
        <f>SUM(F26:F36)</f>
        <v>37737</v>
      </c>
      <c r="G37" s="38">
        <f>SUM(G26:G36)</f>
        <v>15108</v>
      </c>
      <c r="H37" s="38"/>
      <c r="I37" s="38">
        <f>SUM(D37:G37)</f>
        <v>122607</v>
      </c>
      <c r="J37" s="57"/>
      <c r="K37" s="57"/>
      <c r="L37" s="57"/>
      <c r="M37" s="57"/>
      <c r="N37" s="57"/>
      <c r="O37" s="57"/>
      <c r="P37" s="57"/>
      <c r="Q37" s="57"/>
      <c r="R37" s="57"/>
      <c r="S37" s="57"/>
    </row>
    <row r="38" spans="2:19" s="66" customFormat="1" ht="12.75" customHeight="1" x14ac:dyDescent="0.25">
      <c r="B38" s="67"/>
      <c r="C38" s="49"/>
      <c r="D38" s="35"/>
      <c r="E38" s="40"/>
      <c r="F38" s="35"/>
      <c r="G38" s="40"/>
      <c r="H38" s="35"/>
      <c r="I38" s="35"/>
      <c r="J38" s="57"/>
      <c r="K38" s="57"/>
      <c r="L38" s="57"/>
      <c r="M38" s="57"/>
      <c r="N38" s="57"/>
      <c r="O38" s="57"/>
      <c r="P38" s="57"/>
      <c r="Q38" s="57"/>
      <c r="R38" s="57"/>
      <c r="S38" s="57"/>
    </row>
    <row r="39" spans="2:19" s="45" customFormat="1" ht="18.75" customHeight="1" x14ac:dyDescent="0.25">
      <c r="B39" s="53" t="s">
        <v>32</v>
      </c>
      <c r="C39" s="51">
        <f>I39/I39</f>
        <v>1</v>
      </c>
      <c r="D39" s="54">
        <f>D24+D37</f>
        <v>108086</v>
      </c>
      <c r="E39" s="54">
        <f>E24+E37</f>
        <v>116216</v>
      </c>
      <c r="F39" s="54">
        <f>F24+F37</f>
        <v>120642</v>
      </c>
      <c r="G39" s="54">
        <f>G24+G37</f>
        <v>49285</v>
      </c>
      <c r="H39" s="54"/>
      <c r="I39" s="54">
        <f>SUM(D39:G39)</f>
        <v>394229</v>
      </c>
    </row>
    <row r="40" spans="2:19" s="66" customFormat="1" ht="12.75" customHeight="1" x14ac:dyDescent="0.25">
      <c r="B40" s="74"/>
      <c r="C40" s="1"/>
      <c r="D40" s="3"/>
      <c r="E40" s="3"/>
      <c r="F40" s="3"/>
      <c r="G40" s="3"/>
      <c r="H40" s="3"/>
      <c r="I40" s="55"/>
      <c r="J40" s="57"/>
      <c r="K40" s="57"/>
      <c r="L40" s="57"/>
      <c r="M40" s="57"/>
      <c r="N40" s="57"/>
      <c r="O40" s="57"/>
      <c r="P40" s="57"/>
      <c r="Q40" s="57"/>
      <c r="R40" s="57"/>
      <c r="S40" s="57"/>
    </row>
    <row r="41" spans="2:19" s="66" customFormat="1" ht="12.75" customHeight="1" x14ac:dyDescent="0.25">
      <c r="B41" s="66" t="s">
        <v>33</v>
      </c>
      <c r="C41" s="1"/>
      <c r="D41" s="3">
        <v>253</v>
      </c>
      <c r="E41" s="3">
        <v>250</v>
      </c>
      <c r="F41" s="3">
        <v>252</v>
      </c>
      <c r="G41" s="3">
        <v>103</v>
      </c>
      <c r="H41" s="3"/>
      <c r="I41" s="3"/>
      <c r="J41" s="57"/>
      <c r="K41" s="57"/>
      <c r="L41" s="57"/>
      <c r="M41" s="57"/>
      <c r="N41" s="57"/>
      <c r="O41" s="57"/>
      <c r="P41" s="57"/>
      <c r="Q41" s="57"/>
      <c r="R41" s="57"/>
      <c r="S41" s="57"/>
    </row>
    <row r="42" spans="2:19" s="66" customFormat="1" ht="12.75" customHeight="1" x14ac:dyDescent="0.25">
      <c r="B42" s="66" t="s">
        <v>34</v>
      </c>
      <c r="C42" s="1"/>
      <c r="D42" s="19">
        <f>D39/D41</f>
        <v>427.21739130434781</v>
      </c>
      <c r="E42" s="19">
        <f>E39/E41</f>
        <v>464.86399999999998</v>
      </c>
      <c r="F42" s="19">
        <f>F39/F41</f>
        <v>478.73809523809524</v>
      </c>
      <c r="G42" s="19">
        <f>G39/G41</f>
        <v>478.49514563106794</v>
      </c>
      <c r="H42" s="3"/>
      <c r="I42" s="3"/>
      <c r="J42" s="57"/>
      <c r="K42" s="57"/>
      <c r="L42" s="57"/>
      <c r="M42" s="57"/>
      <c r="N42" s="57"/>
      <c r="O42" s="57"/>
      <c r="P42" s="57"/>
      <c r="Q42" s="57"/>
      <c r="R42" s="57"/>
      <c r="S42" s="57"/>
    </row>
    <row r="43" spans="2:19" s="66" customFormat="1" ht="12.75" customHeight="1" x14ac:dyDescent="0.25">
      <c r="C43" s="1"/>
      <c r="D43" s="3"/>
      <c r="E43" s="3"/>
      <c r="F43" s="3"/>
      <c r="G43" s="3"/>
      <c r="H43" s="3"/>
      <c r="I43" s="3"/>
      <c r="J43" s="57"/>
      <c r="K43" s="57"/>
      <c r="L43" s="57"/>
      <c r="M43" s="57"/>
      <c r="N43" s="57"/>
      <c r="O43" s="57"/>
      <c r="P43" s="57"/>
      <c r="Q43" s="57"/>
      <c r="R43" s="57"/>
      <c r="S43" s="57"/>
    </row>
    <row r="44" spans="2:19" s="66" customFormat="1" ht="12.75" customHeight="1" x14ac:dyDescent="0.25">
      <c r="C44" s="1"/>
      <c r="D44" s="3"/>
      <c r="E44" s="3"/>
      <c r="F44" s="3"/>
      <c r="G44" s="3"/>
      <c r="H44" s="3"/>
      <c r="I44" s="3"/>
      <c r="J44" s="57"/>
      <c r="K44" s="57"/>
      <c r="L44" s="57"/>
      <c r="M44" s="57"/>
      <c r="N44" s="57"/>
      <c r="O44" s="57"/>
      <c r="P44" s="57"/>
      <c r="Q44" s="57"/>
      <c r="R44" s="57"/>
      <c r="S44" s="57"/>
    </row>
    <row r="45" spans="2:19" s="66" customFormat="1" ht="12.75" customHeight="1" x14ac:dyDescent="0.25">
      <c r="C45" s="1"/>
      <c r="D45" s="3"/>
      <c r="E45" s="3"/>
      <c r="F45" s="3"/>
      <c r="G45" s="3"/>
      <c r="H45" s="3"/>
      <c r="I45" s="3"/>
      <c r="J45" s="57"/>
      <c r="K45" s="57"/>
      <c r="L45" s="57"/>
      <c r="M45" s="57"/>
      <c r="N45" s="57"/>
      <c r="O45" s="57"/>
      <c r="P45" s="57"/>
      <c r="Q45" s="57"/>
      <c r="R45" s="57"/>
      <c r="S45" s="57"/>
    </row>
    <row r="46" spans="2:19" s="66" customFormat="1" ht="12.75" customHeight="1" x14ac:dyDescent="0.25">
      <c r="C46" s="1"/>
      <c r="D46" s="3"/>
      <c r="E46" s="3"/>
      <c r="F46" s="3"/>
      <c r="G46" s="3"/>
      <c r="H46" s="3"/>
      <c r="I46" s="3"/>
      <c r="J46" s="57"/>
      <c r="K46" s="57"/>
      <c r="L46" s="57"/>
      <c r="M46" s="57"/>
      <c r="N46" s="57"/>
      <c r="O46" s="57"/>
      <c r="P46" s="57"/>
      <c r="Q46" s="57"/>
      <c r="R46" s="57"/>
      <c r="S46" s="57"/>
    </row>
    <row r="47" spans="2:19" s="66" customFormat="1" ht="12.75" customHeight="1" x14ac:dyDescent="0.25">
      <c r="C47" s="1"/>
      <c r="D47" s="3"/>
      <c r="E47" s="3"/>
      <c r="F47" s="3"/>
      <c r="G47" s="3"/>
      <c r="H47" s="3"/>
      <c r="I47" s="3"/>
      <c r="J47" s="57"/>
      <c r="K47" s="57"/>
      <c r="L47" s="57"/>
      <c r="M47" s="57"/>
      <c r="N47" s="57"/>
      <c r="O47" s="57"/>
      <c r="P47" s="57"/>
      <c r="Q47" s="57"/>
      <c r="R47" s="57"/>
      <c r="S47" s="57"/>
    </row>
    <row r="48" spans="2:19" s="66" customFormat="1" ht="12.75" customHeight="1" x14ac:dyDescent="0.25">
      <c r="C48" s="1"/>
      <c r="D48" s="3"/>
      <c r="E48" s="3"/>
      <c r="F48" s="3"/>
      <c r="G48" s="3"/>
      <c r="H48" s="3"/>
      <c r="I48" s="3"/>
      <c r="J48" s="57"/>
      <c r="K48" s="57"/>
      <c r="L48" s="57"/>
      <c r="M48" s="57"/>
      <c r="N48" s="57"/>
      <c r="O48" s="57"/>
      <c r="P48" s="57"/>
      <c r="Q48" s="57"/>
      <c r="R48" s="57"/>
      <c r="S48" s="57"/>
    </row>
    <row r="49" spans="3:19" s="66" customFormat="1" ht="12.75" customHeight="1" x14ac:dyDescent="0.25">
      <c r="C49" s="1"/>
      <c r="D49" s="3"/>
      <c r="E49" s="3"/>
      <c r="F49" s="3"/>
      <c r="G49" s="3"/>
      <c r="H49" s="3"/>
      <c r="I49" s="3"/>
      <c r="J49" s="57"/>
      <c r="K49" s="57"/>
      <c r="L49" s="57"/>
      <c r="M49" s="57"/>
      <c r="N49" s="57"/>
      <c r="O49" s="57"/>
      <c r="P49" s="57"/>
      <c r="Q49" s="57"/>
      <c r="R49" s="57"/>
      <c r="S49" s="57"/>
    </row>
    <row r="50" spans="3:19" s="66" customFormat="1" ht="12.75" customHeight="1" x14ac:dyDescent="0.25">
      <c r="C50" s="1"/>
      <c r="D50" s="3"/>
      <c r="E50" s="3"/>
      <c r="F50" s="3"/>
      <c r="G50" s="3"/>
      <c r="H50" s="3"/>
      <c r="I50" s="3"/>
      <c r="J50" s="57"/>
      <c r="K50" s="57"/>
      <c r="L50" s="57"/>
      <c r="M50" s="57"/>
      <c r="N50" s="57"/>
      <c r="O50" s="57"/>
      <c r="P50" s="57"/>
      <c r="Q50" s="57"/>
      <c r="R50" s="57"/>
      <c r="S50" s="57"/>
    </row>
    <row r="51" spans="3:19" s="66" customFormat="1" ht="12.75" customHeight="1" x14ac:dyDescent="0.25">
      <c r="C51" s="1"/>
      <c r="D51" s="3"/>
      <c r="E51" s="3"/>
      <c r="F51" s="3"/>
      <c r="G51" s="3"/>
      <c r="H51" s="3"/>
      <c r="I51" s="3"/>
      <c r="J51" s="57"/>
      <c r="K51" s="57"/>
      <c r="L51" s="57"/>
      <c r="M51" s="57"/>
      <c r="N51" s="57"/>
      <c r="O51" s="57"/>
      <c r="P51" s="57"/>
      <c r="Q51" s="57"/>
      <c r="R51" s="57"/>
      <c r="S51" s="57"/>
    </row>
    <row r="52" spans="3:19" s="66" customFormat="1" ht="12.75" customHeight="1" x14ac:dyDescent="0.25">
      <c r="C52" s="1"/>
      <c r="D52" s="3"/>
      <c r="E52" s="3"/>
      <c r="F52" s="3"/>
      <c r="G52" s="3"/>
      <c r="H52" s="3"/>
      <c r="I52" s="3"/>
      <c r="J52" s="57"/>
      <c r="K52" s="57"/>
      <c r="L52" s="57"/>
      <c r="M52" s="57"/>
      <c r="N52" s="57"/>
      <c r="O52" s="57"/>
      <c r="P52" s="57"/>
      <c r="Q52" s="57"/>
      <c r="R52" s="57"/>
      <c r="S52" s="57"/>
    </row>
    <row r="53" spans="3:19" s="66" customFormat="1" ht="12.75" customHeight="1" x14ac:dyDescent="0.25">
      <c r="C53" s="1"/>
      <c r="D53" s="3"/>
      <c r="E53" s="3"/>
      <c r="F53" s="3"/>
      <c r="G53" s="3"/>
      <c r="H53" s="3"/>
      <c r="I53" s="3"/>
      <c r="J53" s="57"/>
      <c r="K53" s="57"/>
      <c r="L53" s="57"/>
      <c r="M53" s="57"/>
      <c r="N53" s="57"/>
      <c r="O53" s="57"/>
      <c r="P53" s="57"/>
      <c r="Q53" s="57"/>
      <c r="R53" s="57"/>
      <c r="S53" s="57"/>
    </row>
    <row r="54" spans="3:19" s="66" customFormat="1" ht="12.75" customHeight="1" x14ac:dyDescent="0.25">
      <c r="C54" s="1"/>
      <c r="D54" s="3"/>
      <c r="E54" s="3"/>
      <c r="F54" s="3"/>
      <c r="G54" s="3"/>
      <c r="H54" s="3"/>
      <c r="I54" s="3"/>
      <c r="J54" s="57"/>
      <c r="K54" s="57"/>
      <c r="L54" s="57"/>
      <c r="M54" s="57"/>
      <c r="N54" s="57"/>
      <c r="O54" s="57"/>
      <c r="P54" s="57"/>
      <c r="Q54" s="57"/>
      <c r="R54" s="57"/>
      <c r="S54" s="57"/>
    </row>
    <row r="55" spans="3:19" s="66" customFormat="1" ht="12.75" customHeight="1" x14ac:dyDescent="0.25">
      <c r="C55" s="1"/>
      <c r="D55" s="3"/>
      <c r="E55" s="3"/>
      <c r="F55" s="3"/>
      <c r="G55" s="3"/>
      <c r="H55" s="3"/>
      <c r="I55" s="3"/>
      <c r="J55" s="57"/>
      <c r="K55" s="57"/>
      <c r="L55" s="57"/>
      <c r="M55" s="57"/>
      <c r="N55" s="57"/>
      <c r="O55" s="57"/>
      <c r="P55" s="57"/>
      <c r="Q55" s="57"/>
      <c r="R55" s="57"/>
      <c r="S55" s="57"/>
    </row>
    <row r="56" spans="3:19" s="66" customFormat="1" ht="12.75" customHeight="1" x14ac:dyDescent="0.25">
      <c r="C56" s="1"/>
      <c r="D56" s="3"/>
      <c r="E56" s="3"/>
      <c r="F56" s="3"/>
      <c r="G56" s="3"/>
      <c r="H56" s="3"/>
      <c r="I56" s="3"/>
      <c r="J56" s="57"/>
      <c r="K56" s="57"/>
      <c r="L56" s="57"/>
      <c r="M56" s="57"/>
      <c r="N56" s="57"/>
      <c r="O56" s="57"/>
      <c r="P56" s="57"/>
      <c r="Q56" s="57"/>
      <c r="R56" s="57"/>
      <c r="S56" s="57"/>
    </row>
    <row r="57" spans="3:19" s="66" customFormat="1" ht="12.75" customHeight="1" x14ac:dyDescent="0.25">
      <c r="C57" s="1"/>
      <c r="D57" s="3"/>
      <c r="E57" s="3"/>
      <c r="F57" s="3"/>
      <c r="G57" s="3"/>
      <c r="H57" s="3"/>
      <c r="I57" s="3"/>
      <c r="J57" s="57"/>
      <c r="K57" s="57"/>
      <c r="L57" s="57"/>
      <c r="M57" s="57"/>
      <c r="N57" s="57"/>
      <c r="O57" s="57"/>
      <c r="P57" s="57"/>
      <c r="Q57" s="57"/>
      <c r="R57" s="57"/>
      <c r="S57" s="57"/>
    </row>
    <row r="58" spans="3:19" s="66" customFormat="1" ht="12.75" customHeight="1" x14ac:dyDescent="0.25">
      <c r="C58" s="1"/>
      <c r="D58" s="3"/>
      <c r="E58" s="3"/>
      <c r="F58" s="3"/>
      <c r="G58" s="3"/>
      <c r="H58" s="3"/>
      <c r="I58" s="3"/>
      <c r="J58" s="57"/>
      <c r="K58" s="57"/>
      <c r="L58" s="57"/>
      <c r="M58" s="57"/>
      <c r="N58" s="57"/>
      <c r="O58" s="57"/>
      <c r="P58" s="57"/>
      <c r="Q58" s="57"/>
      <c r="R58" s="57"/>
      <c r="S58" s="57"/>
    </row>
    <row r="59" spans="3:19" s="66" customFormat="1" ht="12.75" customHeight="1" x14ac:dyDescent="0.25">
      <c r="C59" s="1"/>
      <c r="D59" s="3"/>
      <c r="E59" s="3"/>
      <c r="F59" s="3"/>
      <c r="G59" s="3"/>
      <c r="H59" s="3"/>
      <c r="I59" s="3"/>
      <c r="J59" s="57"/>
      <c r="K59" s="57"/>
      <c r="L59" s="57"/>
      <c r="M59" s="57"/>
      <c r="N59" s="57"/>
      <c r="O59" s="57"/>
      <c r="P59" s="57"/>
      <c r="Q59" s="57"/>
      <c r="R59" s="57"/>
      <c r="S59" s="57"/>
    </row>
    <row r="60" spans="3:19" s="66" customFormat="1" ht="12.75" customHeight="1" x14ac:dyDescent="0.25">
      <c r="C60" s="1"/>
      <c r="D60" s="3"/>
      <c r="E60" s="3"/>
      <c r="F60" s="3"/>
      <c r="G60" s="3"/>
      <c r="H60" s="3"/>
      <c r="I60" s="3"/>
      <c r="J60" s="57"/>
      <c r="K60" s="57"/>
      <c r="L60" s="57"/>
      <c r="M60" s="57"/>
      <c r="N60" s="57"/>
      <c r="O60" s="57"/>
      <c r="P60" s="57"/>
      <c r="Q60" s="57"/>
      <c r="R60" s="57"/>
      <c r="S60" s="57"/>
    </row>
    <row r="61" spans="3:19" s="66" customFormat="1" ht="12.75" customHeight="1" x14ac:dyDescent="0.25">
      <c r="C61" s="1"/>
      <c r="D61" s="3"/>
      <c r="E61" s="3"/>
      <c r="F61" s="3"/>
      <c r="G61" s="3"/>
      <c r="H61" s="3"/>
      <c r="I61" s="3"/>
      <c r="J61" s="57"/>
      <c r="K61" s="57"/>
      <c r="L61" s="57"/>
      <c r="M61" s="57"/>
      <c r="N61" s="57"/>
      <c r="O61" s="57"/>
      <c r="P61" s="57"/>
      <c r="Q61" s="57"/>
      <c r="R61" s="57"/>
      <c r="S61" s="57"/>
    </row>
    <row r="62" spans="3:19" s="66" customFormat="1" ht="12.75" customHeight="1" x14ac:dyDescent="0.25">
      <c r="C62" s="1"/>
      <c r="D62" s="3"/>
      <c r="E62" s="3"/>
      <c r="F62" s="3"/>
      <c r="G62" s="3"/>
      <c r="H62" s="3"/>
      <c r="I62" s="3"/>
      <c r="J62" s="57"/>
      <c r="K62" s="57"/>
      <c r="L62" s="57"/>
      <c r="M62" s="57"/>
      <c r="N62" s="57"/>
      <c r="O62" s="57"/>
      <c r="P62" s="57"/>
      <c r="Q62" s="57"/>
      <c r="R62" s="57"/>
      <c r="S62" s="57"/>
    </row>
    <row r="63" spans="3:19" s="66" customFormat="1" ht="12.75" customHeight="1" x14ac:dyDescent="0.25">
      <c r="C63" s="1"/>
      <c r="D63" s="3"/>
      <c r="E63" s="3"/>
      <c r="F63" s="3"/>
      <c r="G63" s="3"/>
      <c r="H63" s="3"/>
      <c r="I63" s="3"/>
      <c r="J63" s="57"/>
      <c r="K63" s="57"/>
      <c r="L63" s="57"/>
      <c r="M63" s="57"/>
      <c r="N63" s="57"/>
      <c r="O63" s="57"/>
      <c r="P63" s="57"/>
      <c r="Q63" s="57"/>
      <c r="R63" s="57"/>
      <c r="S63" s="57"/>
    </row>
    <row r="64" spans="3:19" s="66" customFormat="1" ht="12.75" customHeight="1" x14ac:dyDescent="0.25">
      <c r="C64" s="1"/>
      <c r="D64" s="3"/>
      <c r="E64" s="3"/>
      <c r="F64" s="3"/>
      <c r="G64" s="3"/>
      <c r="H64" s="3"/>
      <c r="I64" s="3"/>
      <c r="J64" s="57"/>
      <c r="K64" s="57"/>
      <c r="L64" s="57"/>
      <c r="M64" s="57"/>
      <c r="N64" s="57"/>
      <c r="O64" s="57"/>
      <c r="P64" s="57"/>
      <c r="Q64" s="57"/>
      <c r="R64" s="57"/>
      <c r="S64" s="57"/>
    </row>
    <row r="65" spans="3:19" s="66" customFormat="1" ht="12.75" customHeight="1" x14ac:dyDescent="0.25">
      <c r="C65" s="1"/>
      <c r="D65" s="3"/>
      <c r="E65" s="3"/>
      <c r="F65" s="3"/>
      <c r="G65" s="3"/>
      <c r="H65" s="3"/>
      <c r="I65" s="3"/>
      <c r="J65" s="57"/>
      <c r="K65" s="57"/>
      <c r="L65" s="57"/>
      <c r="M65" s="57"/>
      <c r="N65" s="57"/>
      <c r="O65" s="57"/>
      <c r="P65" s="57"/>
      <c r="Q65" s="57"/>
      <c r="R65" s="57"/>
      <c r="S65" s="57"/>
    </row>
    <row r="66" spans="3:19" s="66" customFormat="1" ht="12.75" customHeight="1" x14ac:dyDescent="0.25">
      <c r="C66" s="1"/>
      <c r="D66" s="3"/>
      <c r="E66" s="3"/>
      <c r="F66" s="3"/>
      <c r="G66" s="3"/>
      <c r="H66" s="3"/>
      <c r="I66" s="3"/>
      <c r="J66" s="57"/>
      <c r="K66" s="57"/>
      <c r="L66" s="57"/>
      <c r="M66" s="57"/>
      <c r="N66" s="57"/>
      <c r="O66" s="57"/>
      <c r="P66" s="57"/>
      <c r="Q66" s="57"/>
      <c r="R66" s="57"/>
      <c r="S66" s="57"/>
    </row>
    <row r="67" spans="3:19" s="66" customFormat="1" ht="12.75" customHeight="1" x14ac:dyDescent="0.25">
      <c r="C67" s="1"/>
      <c r="D67" s="3"/>
      <c r="E67" s="3"/>
      <c r="F67" s="3"/>
      <c r="G67" s="3"/>
      <c r="H67" s="3"/>
      <c r="I67" s="3"/>
      <c r="J67" s="57"/>
      <c r="K67" s="57"/>
      <c r="L67" s="57"/>
      <c r="M67" s="57"/>
      <c r="N67" s="57"/>
      <c r="O67" s="57"/>
      <c r="P67" s="57"/>
      <c r="Q67" s="57"/>
      <c r="R67" s="57"/>
      <c r="S67" s="57"/>
    </row>
    <row r="68" spans="3:19" s="66" customFormat="1" ht="12.75" customHeight="1" x14ac:dyDescent="0.25">
      <c r="C68" s="1"/>
      <c r="D68" s="3"/>
      <c r="E68" s="3"/>
      <c r="F68" s="3"/>
      <c r="G68" s="3"/>
      <c r="H68" s="3"/>
      <c r="I68" s="3"/>
      <c r="J68" s="57"/>
      <c r="K68" s="57"/>
      <c r="L68" s="57"/>
      <c r="M68" s="57"/>
      <c r="N68" s="57"/>
      <c r="O68" s="57"/>
      <c r="P68" s="57"/>
      <c r="Q68" s="57"/>
      <c r="R68" s="57"/>
      <c r="S68" s="57"/>
    </row>
    <row r="69" spans="3:19" s="66" customFormat="1" ht="12.75" customHeight="1" x14ac:dyDescent="0.25">
      <c r="C69" s="1"/>
      <c r="D69" s="3"/>
      <c r="E69" s="3"/>
      <c r="F69" s="3"/>
      <c r="G69" s="3"/>
      <c r="H69" s="3"/>
      <c r="I69" s="3"/>
      <c r="J69" s="57"/>
      <c r="K69" s="57"/>
      <c r="L69" s="57"/>
      <c r="M69" s="57"/>
      <c r="N69" s="57"/>
      <c r="O69" s="57"/>
      <c r="P69" s="57"/>
      <c r="Q69" s="57"/>
      <c r="R69" s="57"/>
      <c r="S69" s="57"/>
    </row>
    <row r="70" spans="3:19" s="66" customFormat="1" ht="12.75" customHeight="1" x14ac:dyDescent="0.25">
      <c r="C70" s="1"/>
      <c r="D70" s="3"/>
      <c r="E70" s="3"/>
      <c r="F70" s="3"/>
      <c r="G70" s="3"/>
      <c r="H70" s="3"/>
      <c r="I70" s="3"/>
      <c r="J70" s="57"/>
      <c r="K70" s="57"/>
      <c r="L70" s="57"/>
      <c r="M70" s="57"/>
      <c r="N70" s="57"/>
      <c r="O70" s="57"/>
      <c r="P70" s="57"/>
      <c r="Q70" s="57"/>
      <c r="R70" s="57"/>
      <c r="S70" s="57"/>
    </row>
    <row r="71" spans="3:19" s="66" customFormat="1" ht="12.75" customHeight="1" x14ac:dyDescent="0.25">
      <c r="C71" s="1"/>
      <c r="D71" s="3"/>
      <c r="E71" s="3"/>
      <c r="F71" s="3"/>
      <c r="G71" s="3"/>
      <c r="H71" s="3"/>
      <c r="I71" s="3"/>
      <c r="J71" s="57"/>
      <c r="K71" s="57"/>
      <c r="L71" s="57"/>
      <c r="M71" s="57"/>
      <c r="N71" s="57"/>
      <c r="O71" s="57"/>
      <c r="P71" s="57"/>
      <c r="Q71" s="57"/>
      <c r="R71" s="57"/>
      <c r="S71" s="57"/>
    </row>
    <row r="72" spans="3:19" s="66" customFormat="1" ht="12.75" customHeight="1" x14ac:dyDescent="0.25">
      <c r="C72" s="1"/>
      <c r="D72" s="3"/>
      <c r="E72" s="3"/>
      <c r="F72" s="3"/>
      <c r="G72" s="3"/>
      <c r="H72" s="3"/>
      <c r="I72" s="3"/>
      <c r="J72" s="57"/>
      <c r="K72" s="57"/>
      <c r="L72" s="57"/>
      <c r="M72" s="57"/>
      <c r="N72" s="57"/>
      <c r="O72" s="57"/>
      <c r="P72" s="57"/>
      <c r="Q72" s="57"/>
      <c r="R72" s="57"/>
      <c r="S72" s="57"/>
    </row>
    <row r="73" spans="3:19" s="66" customFormat="1" ht="12.75" customHeight="1" x14ac:dyDescent="0.25">
      <c r="C73" s="1"/>
      <c r="D73" s="3"/>
      <c r="E73" s="3"/>
      <c r="F73" s="3"/>
      <c r="G73" s="3"/>
      <c r="H73" s="3"/>
      <c r="I73" s="3"/>
      <c r="J73" s="57"/>
      <c r="K73" s="57"/>
      <c r="L73" s="57"/>
      <c r="M73" s="57"/>
      <c r="N73" s="57"/>
      <c r="O73" s="57"/>
      <c r="P73" s="57"/>
      <c r="Q73" s="57"/>
      <c r="R73" s="57"/>
      <c r="S73" s="57"/>
    </row>
    <row r="74" spans="3:19" s="66" customFormat="1" ht="12.75" customHeight="1" x14ac:dyDescent="0.25">
      <c r="C74" s="1"/>
      <c r="D74" s="3"/>
      <c r="E74" s="3"/>
      <c r="F74" s="3"/>
      <c r="G74" s="3"/>
      <c r="H74" s="3"/>
      <c r="I74" s="3"/>
      <c r="J74" s="57"/>
      <c r="K74" s="57"/>
      <c r="L74" s="57"/>
      <c r="M74" s="57"/>
      <c r="N74" s="57"/>
      <c r="O74" s="57"/>
      <c r="P74" s="57"/>
      <c r="Q74" s="57"/>
      <c r="R74" s="57"/>
      <c r="S74" s="57"/>
    </row>
    <row r="75" spans="3:19" s="66" customFormat="1" ht="12.75" customHeight="1" x14ac:dyDescent="0.25">
      <c r="C75" s="1"/>
      <c r="D75" s="3"/>
      <c r="E75" s="3"/>
      <c r="F75" s="3"/>
      <c r="G75" s="3"/>
      <c r="H75" s="3"/>
      <c r="I75" s="3"/>
      <c r="J75" s="57"/>
      <c r="K75" s="57"/>
      <c r="L75" s="57"/>
      <c r="M75" s="57"/>
      <c r="N75" s="57"/>
      <c r="O75" s="57"/>
      <c r="P75" s="57"/>
      <c r="Q75" s="57"/>
      <c r="R75" s="57"/>
      <c r="S75" s="57"/>
    </row>
    <row r="76" spans="3:19" s="66" customFormat="1" ht="12.75" customHeight="1" x14ac:dyDescent="0.25">
      <c r="C76" s="1"/>
      <c r="D76" s="3"/>
      <c r="E76" s="3"/>
      <c r="F76" s="3"/>
      <c r="G76" s="3"/>
      <c r="H76" s="3"/>
      <c r="I76" s="3"/>
      <c r="J76" s="57"/>
      <c r="K76" s="57"/>
      <c r="L76" s="57"/>
      <c r="M76" s="57"/>
      <c r="N76" s="57"/>
      <c r="O76" s="57"/>
      <c r="P76" s="57"/>
      <c r="Q76" s="57"/>
      <c r="R76" s="57"/>
      <c r="S76" s="57"/>
    </row>
    <row r="77" spans="3:19" s="66" customFormat="1" ht="12.75" customHeight="1" x14ac:dyDescent="0.25">
      <c r="C77" s="1"/>
      <c r="D77" s="3"/>
      <c r="E77" s="3"/>
      <c r="F77" s="3"/>
      <c r="G77" s="3"/>
      <c r="H77" s="3"/>
      <c r="I77" s="3"/>
      <c r="J77" s="57"/>
      <c r="K77" s="57"/>
      <c r="L77" s="57"/>
      <c r="M77" s="57"/>
      <c r="N77" s="57"/>
      <c r="O77" s="57"/>
      <c r="P77" s="57"/>
      <c r="Q77" s="57"/>
      <c r="R77" s="57"/>
      <c r="S77" s="57"/>
    </row>
    <row r="78" spans="3:19" s="66" customFormat="1" ht="12.75" customHeight="1" x14ac:dyDescent="0.25">
      <c r="C78" s="1"/>
      <c r="D78" s="3"/>
      <c r="E78" s="3"/>
      <c r="F78" s="3"/>
      <c r="G78" s="3"/>
      <c r="H78" s="3"/>
      <c r="I78" s="3"/>
      <c r="J78" s="57"/>
      <c r="K78" s="57"/>
      <c r="L78" s="57"/>
      <c r="M78" s="57"/>
      <c r="N78" s="57"/>
      <c r="O78" s="57"/>
      <c r="P78" s="57"/>
      <c r="Q78" s="57"/>
      <c r="R78" s="57"/>
      <c r="S78" s="57"/>
    </row>
    <row r="79" spans="3:19" s="66" customFormat="1" ht="12.75" customHeight="1" x14ac:dyDescent="0.25">
      <c r="C79" s="1"/>
      <c r="D79" s="3"/>
      <c r="E79" s="3"/>
      <c r="F79" s="3"/>
      <c r="G79" s="3"/>
      <c r="H79" s="3"/>
      <c r="I79" s="3"/>
      <c r="J79" s="57"/>
      <c r="K79" s="57"/>
      <c r="L79" s="57"/>
      <c r="M79" s="57"/>
      <c r="N79" s="57"/>
      <c r="O79" s="57"/>
      <c r="P79" s="57"/>
      <c r="Q79" s="57"/>
      <c r="R79" s="57"/>
      <c r="S79" s="57"/>
    </row>
    <row r="80" spans="3:19" s="66" customFormat="1" ht="12.75" customHeight="1" x14ac:dyDescent="0.25">
      <c r="C80" s="1"/>
      <c r="D80" s="3"/>
      <c r="E80" s="3"/>
      <c r="F80" s="3"/>
      <c r="G80" s="3"/>
      <c r="H80" s="3"/>
      <c r="I80" s="3"/>
      <c r="J80" s="57"/>
      <c r="K80" s="57"/>
      <c r="L80" s="57"/>
      <c r="M80" s="57"/>
      <c r="N80" s="57"/>
      <c r="O80" s="57"/>
      <c r="P80" s="57"/>
      <c r="Q80" s="57"/>
      <c r="R80" s="57"/>
      <c r="S80" s="57"/>
    </row>
    <row r="81" spans="3:19" s="66" customFormat="1" ht="12.75" customHeight="1" x14ac:dyDescent="0.25">
      <c r="C81" s="1"/>
      <c r="D81" s="3"/>
      <c r="E81" s="3"/>
      <c r="F81" s="3"/>
      <c r="G81" s="3"/>
      <c r="H81" s="3"/>
      <c r="I81" s="3"/>
      <c r="J81" s="57"/>
      <c r="K81" s="57"/>
      <c r="L81" s="57"/>
      <c r="M81" s="57"/>
      <c r="N81" s="57"/>
      <c r="O81" s="57"/>
      <c r="P81" s="57"/>
      <c r="Q81" s="57"/>
      <c r="R81" s="57"/>
      <c r="S81" s="57"/>
    </row>
    <row r="82" spans="3:19" s="66" customFormat="1" ht="12.75" customHeight="1" x14ac:dyDescent="0.25">
      <c r="C82" s="1"/>
      <c r="D82" s="3"/>
      <c r="E82" s="3"/>
      <c r="F82" s="3"/>
      <c r="G82" s="3"/>
      <c r="H82" s="3"/>
      <c r="I82" s="3"/>
      <c r="J82" s="57"/>
      <c r="K82" s="57"/>
      <c r="L82" s="57"/>
      <c r="M82" s="57"/>
      <c r="N82" s="57"/>
      <c r="O82" s="57"/>
      <c r="P82" s="57"/>
      <c r="Q82" s="57"/>
      <c r="R82" s="57"/>
      <c r="S82" s="57"/>
    </row>
    <row r="83" spans="3:19" s="66" customFormat="1" ht="12.75" customHeight="1" x14ac:dyDescent="0.25">
      <c r="C83" s="1"/>
      <c r="D83" s="3"/>
      <c r="E83" s="3"/>
      <c r="F83" s="3"/>
      <c r="G83" s="3"/>
      <c r="H83" s="3"/>
      <c r="I83" s="3"/>
      <c r="J83" s="57"/>
      <c r="K83" s="57"/>
      <c r="L83" s="57"/>
      <c r="M83" s="57"/>
      <c r="N83" s="57"/>
      <c r="O83" s="57"/>
      <c r="P83" s="57"/>
      <c r="Q83" s="57"/>
      <c r="R83" s="57"/>
      <c r="S83" s="57"/>
    </row>
    <row r="84" spans="3:19" s="66" customFormat="1" ht="12.75" customHeight="1" x14ac:dyDescent="0.25">
      <c r="C84" s="1"/>
      <c r="D84" s="3"/>
      <c r="E84" s="3"/>
      <c r="F84" s="3"/>
      <c r="G84" s="3"/>
      <c r="H84" s="3"/>
      <c r="I84" s="3"/>
      <c r="J84" s="57"/>
      <c r="K84" s="57"/>
      <c r="L84" s="57"/>
      <c r="M84" s="57"/>
      <c r="N84" s="57"/>
      <c r="O84" s="57"/>
      <c r="P84" s="57"/>
      <c r="Q84" s="57"/>
      <c r="R84" s="57"/>
      <c r="S84" s="57"/>
    </row>
    <row r="85" spans="3:19" s="66" customFormat="1" ht="12.75" customHeight="1" x14ac:dyDescent="0.25">
      <c r="C85" s="1"/>
      <c r="D85" s="3"/>
      <c r="E85" s="3"/>
      <c r="F85" s="3"/>
      <c r="G85" s="3"/>
      <c r="H85" s="3"/>
      <c r="I85" s="3"/>
      <c r="J85" s="57"/>
      <c r="K85" s="57"/>
      <c r="L85" s="57"/>
      <c r="M85" s="57"/>
      <c r="N85" s="57"/>
      <c r="O85" s="57"/>
      <c r="P85" s="57"/>
      <c r="Q85" s="57"/>
      <c r="R85" s="57"/>
      <c r="S85" s="57"/>
    </row>
    <row r="86" spans="3:19" s="66" customFormat="1" ht="12.75" customHeight="1" x14ac:dyDescent="0.25">
      <c r="C86" s="1"/>
      <c r="D86" s="3"/>
      <c r="E86" s="3"/>
      <c r="F86" s="3"/>
      <c r="G86" s="3"/>
      <c r="H86" s="3"/>
      <c r="I86" s="3"/>
      <c r="J86" s="57"/>
      <c r="K86" s="57"/>
      <c r="L86" s="57"/>
      <c r="M86" s="57"/>
      <c r="N86" s="57"/>
      <c r="O86" s="57"/>
      <c r="P86" s="57"/>
      <c r="Q86" s="57"/>
      <c r="R86" s="57"/>
      <c r="S86" s="57"/>
    </row>
    <row r="87" spans="3:19" s="66" customFormat="1" ht="12.75" customHeight="1" x14ac:dyDescent="0.25">
      <c r="C87" s="1"/>
      <c r="D87" s="3"/>
      <c r="E87" s="3"/>
      <c r="F87" s="3"/>
      <c r="G87" s="3"/>
      <c r="H87" s="3"/>
      <c r="I87" s="3"/>
      <c r="J87" s="57"/>
      <c r="K87" s="57"/>
      <c r="L87" s="57"/>
      <c r="M87" s="57"/>
      <c r="N87" s="57"/>
      <c r="O87" s="57"/>
      <c r="P87" s="57"/>
      <c r="Q87" s="57"/>
      <c r="R87" s="57"/>
      <c r="S87" s="57"/>
    </row>
    <row r="88" spans="3:19" s="66" customFormat="1" ht="12.75" customHeight="1" x14ac:dyDescent="0.25">
      <c r="C88" s="1"/>
      <c r="D88" s="3"/>
      <c r="E88" s="3"/>
      <c r="F88" s="3"/>
      <c r="G88" s="3"/>
      <c r="H88" s="3"/>
      <c r="I88" s="3"/>
      <c r="J88" s="57"/>
      <c r="K88" s="57"/>
      <c r="L88" s="57"/>
      <c r="M88" s="57"/>
      <c r="N88" s="57"/>
      <c r="O88" s="57"/>
      <c r="P88" s="57"/>
      <c r="Q88" s="57"/>
      <c r="R88" s="57"/>
      <c r="S88" s="57"/>
    </row>
    <row r="89" spans="3:19" s="66" customFormat="1" ht="12.75" customHeight="1" x14ac:dyDescent="0.25">
      <c r="C89" s="1"/>
      <c r="D89" s="3"/>
      <c r="E89" s="3"/>
      <c r="F89" s="3"/>
      <c r="G89" s="3"/>
      <c r="H89" s="3"/>
      <c r="I89" s="3"/>
      <c r="J89" s="57"/>
      <c r="K89" s="57"/>
      <c r="L89" s="57"/>
      <c r="M89" s="57"/>
      <c r="N89" s="57"/>
      <c r="O89" s="57"/>
      <c r="P89" s="57"/>
      <c r="Q89" s="57"/>
      <c r="R89" s="57"/>
      <c r="S89" s="57"/>
    </row>
    <row r="90" spans="3:19" s="66" customFormat="1" ht="12.75" customHeight="1" x14ac:dyDescent="0.25">
      <c r="C90" s="1"/>
      <c r="D90" s="3"/>
      <c r="E90" s="3"/>
      <c r="F90" s="3"/>
      <c r="G90" s="3"/>
      <c r="H90" s="3"/>
      <c r="I90" s="3"/>
      <c r="J90" s="57"/>
      <c r="K90" s="57"/>
      <c r="L90" s="57"/>
      <c r="M90" s="57"/>
      <c r="N90" s="57"/>
      <c r="O90" s="57"/>
      <c r="P90" s="57"/>
      <c r="Q90" s="57"/>
      <c r="R90" s="57"/>
      <c r="S90" s="57"/>
    </row>
    <row r="91" spans="3:19" s="66" customFormat="1" ht="12.75" customHeight="1" x14ac:dyDescent="0.25">
      <c r="C91" s="1"/>
      <c r="D91" s="3"/>
      <c r="E91" s="3"/>
      <c r="F91" s="3"/>
      <c r="G91" s="3"/>
      <c r="H91" s="3"/>
      <c r="I91" s="3"/>
      <c r="J91" s="57"/>
      <c r="K91" s="57"/>
      <c r="L91" s="57"/>
      <c r="M91" s="57"/>
      <c r="N91" s="57"/>
      <c r="O91" s="57"/>
      <c r="P91" s="57"/>
      <c r="Q91" s="57"/>
      <c r="R91" s="57"/>
      <c r="S91" s="57"/>
    </row>
    <row r="92" spans="3:19" s="66" customFormat="1" ht="12.75" customHeight="1" x14ac:dyDescent="0.25">
      <c r="C92" s="1"/>
      <c r="D92" s="3"/>
      <c r="E92" s="3"/>
      <c r="F92" s="3"/>
      <c r="G92" s="3"/>
      <c r="H92" s="3"/>
      <c r="I92" s="3"/>
      <c r="J92" s="57"/>
      <c r="K92" s="57"/>
      <c r="L92" s="57"/>
      <c r="M92" s="57"/>
      <c r="N92" s="57"/>
      <c r="O92" s="57"/>
      <c r="P92" s="57"/>
      <c r="Q92" s="57"/>
      <c r="R92" s="57"/>
      <c r="S92" s="57"/>
    </row>
    <row r="93" spans="3:19" s="66" customFormat="1" ht="12.75" customHeight="1" x14ac:dyDescent="0.25">
      <c r="C93" s="1"/>
      <c r="D93" s="3"/>
      <c r="E93" s="3"/>
      <c r="F93" s="3"/>
      <c r="G93" s="3"/>
      <c r="H93" s="3"/>
      <c r="I93" s="3"/>
      <c r="J93" s="57"/>
      <c r="K93" s="57"/>
      <c r="L93" s="57"/>
      <c r="M93" s="57"/>
      <c r="N93" s="57"/>
      <c r="O93" s="57"/>
      <c r="P93" s="57"/>
      <c r="Q93" s="57"/>
      <c r="R93" s="57"/>
      <c r="S93" s="57"/>
    </row>
    <row r="94" spans="3:19" s="66" customFormat="1" ht="12.75" customHeight="1" x14ac:dyDescent="0.25">
      <c r="C94" s="1"/>
      <c r="D94" s="3"/>
      <c r="E94" s="3"/>
      <c r="F94" s="3"/>
      <c r="G94" s="3"/>
      <c r="H94" s="3"/>
      <c r="I94" s="3"/>
      <c r="J94" s="57"/>
      <c r="K94" s="57"/>
      <c r="L94" s="57"/>
      <c r="M94" s="57"/>
      <c r="N94" s="57"/>
      <c r="O94" s="57"/>
      <c r="P94" s="57"/>
      <c r="Q94" s="57"/>
      <c r="R94" s="57"/>
      <c r="S94" s="57"/>
    </row>
    <row r="95" spans="3:19" s="66" customFormat="1" ht="12.75" customHeight="1" x14ac:dyDescent="0.25">
      <c r="C95" s="1"/>
      <c r="D95" s="3"/>
      <c r="E95" s="3"/>
      <c r="F95" s="3"/>
      <c r="G95" s="3"/>
      <c r="H95" s="3"/>
      <c r="I95" s="3"/>
      <c r="J95" s="57"/>
      <c r="K95" s="57"/>
      <c r="L95" s="57"/>
      <c r="M95" s="57"/>
      <c r="N95" s="57"/>
      <c r="O95" s="57"/>
      <c r="P95" s="57"/>
      <c r="Q95" s="57"/>
      <c r="R95" s="57"/>
      <c r="S95" s="57"/>
    </row>
    <row r="96" spans="3:19" s="66" customFormat="1" ht="12.75" customHeight="1" x14ac:dyDescent="0.25">
      <c r="C96" s="1"/>
      <c r="D96" s="3"/>
      <c r="E96" s="3"/>
      <c r="F96" s="3"/>
      <c r="G96" s="3"/>
      <c r="H96" s="3"/>
      <c r="I96" s="3"/>
      <c r="J96" s="57"/>
      <c r="K96" s="57"/>
      <c r="L96" s="57"/>
      <c r="M96" s="57"/>
      <c r="N96" s="57"/>
      <c r="O96" s="57"/>
      <c r="P96" s="57"/>
      <c r="Q96" s="57"/>
      <c r="R96" s="57"/>
      <c r="S96" s="57"/>
    </row>
    <row r="97" spans="3:19" s="66" customFormat="1" ht="12.75" customHeight="1" x14ac:dyDescent="0.25">
      <c r="C97" s="1"/>
      <c r="D97" s="3"/>
      <c r="E97" s="3"/>
      <c r="F97" s="3"/>
      <c r="G97" s="3"/>
      <c r="H97" s="3"/>
      <c r="I97" s="3"/>
      <c r="J97" s="57"/>
      <c r="K97" s="57"/>
      <c r="L97" s="57"/>
      <c r="M97" s="57"/>
      <c r="N97" s="57"/>
      <c r="O97" s="57"/>
      <c r="P97" s="57"/>
      <c r="Q97" s="57"/>
      <c r="R97" s="57"/>
      <c r="S97" s="57"/>
    </row>
    <row r="98" spans="3:19" s="66" customFormat="1" ht="12.75" customHeight="1" x14ac:dyDescent="0.25">
      <c r="C98" s="1"/>
      <c r="D98" s="3"/>
      <c r="E98" s="3"/>
      <c r="F98" s="3"/>
      <c r="G98" s="3"/>
      <c r="H98" s="3"/>
      <c r="I98" s="3"/>
      <c r="J98" s="57"/>
      <c r="K98" s="57"/>
      <c r="L98" s="57"/>
      <c r="M98" s="57"/>
      <c r="N98" s="57"/>
      <c r="O98" s="57"/>
      <c r="P98" s="57"/>
      <c r="Q98" s="57"/>
      <c r="R98" s="57"/>
      <c r="S98" s="57"/>
    </row>
    <row r="99" spans="3:19" s="66" customFormat="1" ht="12.75" customHeight="1" x14ac:dyDescent="0.25">
      <c r="C99" s="1"/>
      <c r="D99" s="3"/>
      <c r="E99" s="3"/>
      <c r="F99" s="3"/>
      <c r="G99" s="3"/>
      <c r="H99" s="3"/>
      <c r="I99" s="3"/>
      <c r="J99" s="57"/>
      <c r="K99" s="57"/>
      <c r="L99" s="57"/>
      <c r="M99" s="57"/>
      <c r="N99" s="57"/>
      <c r="O99" s="57"/>
      <c r="P99" s="57"/>
      <c r="Q99" s="57"/>
      <c r="R99" s="57"/>
      <c r="S99" s="57"/>
    </row>
    <row r="100" spans="3:19" s="66" customFormat="1" ht="12.75" customHeight="1" x14ac:dyDescent="0.25">
      <c r="C100" s="1"/>
      <c r="D100" s="3"/>
      <c r="E100" s="3"/>
      <c r="F100" s="3"/>
      <c r="G100" s="3"/>
      <c r="H100" s="3"/>
      <c r="I100" s="3"/>
      <c r="J100" s="57"/>
      <c r="K100" s="57"/>
      <c r="L100" s="57"/>
      <c r="M100" s="57"/>
      <c r="N100" s="57"/>
      <c r="O100" s="57"/>
      <c r="P100" s="57"/>
      <c r="Q100" s="57"/>
      <c r="R100" s="57"/>
      <c r="S100" s="57"/>
    </row>
  </sheetData>
  <mergeCells count="8">
    <mergeCell ref="B1:I1"/>
    <mergeCell ref="B3:B5"/>
    <mergeCell ref="C3:C5"/>
    <mergeCell ref="D3:D5"/>
    <mergeCell ref="E3:E5"/>
    <mergeCell ref="F3:F5"/>
    <mergeCell ref="G3:G5"/>
    <mergeCell ref="I3:I5"/>
  </mergeCells>
  <printOptions horizontalCentered="1" verticalCentered="1"/>
  <pageMargins left="0" right="0" top="0.19685039370078702" bottom="0.19685039370078755" header="0.19685039370078702" footer="0.15748031496063003"/>
  <pageSetup paperSize="0" scale="75" fitToWidth="0" fitToHeight="0" pageOrder="overThenDown" orientation="landscape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B21EC-B311-47CD-B77E-85FB9627394E}">
  <dimension ref="A1:AF113"/>
  <sheetViews>
    <sheetView workbookViewId="0">
      <selection activeCell="D42" sqref="D42"/>
    </sheetView>
  </sheetViews>
  <sheetFormatPr baseColWidth="10" defaultColWidth="10" defaultRowHeight="12.75" customHeight="1" x14ac:dyDescent="0.25"/>
  <cols>
    <col min="1" max="1" width="16.33203125" style="1" customWidth="1"/>
    <col min="2" max="2" width="8.58203125" style="3" customWidth="1"/>
    <col min="3" max="3" width="6.75" style="3" customWidth="1"/>
    <col min="4" max="4" width="8.25" style="3" customWidth="1"/>
    <col min="5" max="5" width="6.75" style="3" customWidth="1"/>
    <col min="6" max="6" width="9.58203125" style="3" customWidth="1"/>
    <col min="7" max="7" width="6.75" style="3" customWidth="1"/>
    <col min="8" max="8" width="8.33203125" style="3" customWidth="1"/>
    <col min="9" max="9" width="6.75" style="3" customWidth="1"/>
    <col min="10" max="10" width="9.83203125" style="3" customWidth="1"/>
    <col min="11" max="11" width="6.75" style="3" customWidth="1"/>
    <col min="12" max="12" width="9.25" style="3" customWidth="1"/>
    <col min="13" max="13" width="6.75" style="3" customWidth="1"/>
    <col min="14" max="14" width="7.33203125" style="3" customWidth="1"/>
    <col min="15" max="15" width="6.75" style="3" customWidth="1"/>
    <col min="16" max="16" width="7" style="3" customWidth="1"/>
    <col min="17" max="17" width="6.08203125" style="3" customWidth="1"/>
    <col min="18" max="18" width="11.33203125" style="4" customWidth="1"/>
    <col min="19" max="19" width="6.83203125" style="3" customWidth="1"/>
    <col min="20" max="20" width="9.33203125" style="67" customWidth="1"/>
    <col min="21" max="21" width="8" style="67" customWidth="1"/>
    <col min="22" max="22" width="7.25" style="66" customWidth="1"/>
    <col min="23" max="23" width="8" style="67" customWidth="1"/>
    <col min="24" max="24" width="3.75" style="66" hidden="1" customWidth="1"/>
    <col min="25" max="25" width="10.25" style="66" hidden="1" customWidth="1"/>
    <col min="26" max="26" width="7.75" style="68" customWidth="1"/>
    <col min="27" max="27" width="7.83203125" style="65" customWidth="1"/>
    <col min="28" max="28" width="11" style="66" customWidth="1"/>
    <col min="29" max="29" width="7.33203125" style="66" customWidth="1"/>
    <col min="30" max="30" width="6.58203125" style="66" customWidth="1"/>
    <col min="31" max="31" width="10.58203125" style="66" customWidth="1"/>
    <col min="32" max="32" width="9.5" style="66" customWidth="1"/>
    <col min="33" max="33" width="10" style="57" customWidth="1"/>
    <col min="34" max="16384" width="10" style="57"/>
  </cols>
  <sheetData>
    <row r="1" spans="1:32" ht="20.149999999999999" customHeight="1" x14ac:dyDescent="0.25">
      <c r="B1" s="100" t="s">
        <v>76</v>
      </c>
      <c r="C1" s="100"/>
      <c r="D1" s="100"/>
      <c r="E1" s="100"/>
      <c r="F1" s="100"/>
      <c r="G1" s="100"/>
      <c r="H1" s="100"/>
      <c r="I1" s="100"/>
      <c r="J1" s="100"/>
      <c r="K1" s="2"/>
      <c r="T1" s="57"/>
      <c r="U1" s="57"/>
      <c r="V1" s="57"/>
      <c r="W1" s="57"/>
      <c r="X1" s="57"/>
      <c r="Y1" s="57"/>
      <c r="Z1" s="57"/>
    </row>
    <row r="2" spans="1:32" ht="11.15" customHeight="1" x14ac:dyDescent="0.25">
      <c r="T2" s="57"/>
      <c r="U2" s="57"/>
      <c r="V2" s="57"/>
      <c r="W2" s="57"/>
      <c r="X2" s="57"/>
      <c r="Y2" s="57"/>
      <c r="Z2" s="57"/>
      <c r="AC2" s="57"/>
      <c r="AD2" s="57"/>
      <c r="AE2" s="57"/>
      <c r="AF2" s="57"/>
    </row>
    <row r="3" spans="1:32" ht="12.75" customHeight="1" x14ac:dyDescent="0.25">
      <c r="A3" s="5"/>
      <c r="B3" s="6" t="s">
        <v>35</v>
      </c>
      <c r="C3" s="6" t="s">
        <v>36</v>
      </c>
      <c r="D3" s="6" t="s">
        <v>35</v>
      </c>
      <c r="E3" s="6" t="s">
        <v>36</v>
      </c>
      <c r="F3" s="6" t="s">
        <v>35</v>
      </c>
      <c r="G3" s="6" t="s">
        <v>36</v>
      </c>
      <c r="H3" s="6" t="s">
        <v>35</v>
      </c>
      <c r="I3" s="6" t="s">
        <v>36</v>
      </c>
      <c r="J3" s="6" t="s">
        <v>35</v>
      </c>
      <c r="K3" s="6" t="s">
        <v>36</v>
      </c>
      <c r="L3" s="6" t="s">
        <v>35</v>
      </c>
      <c r="M3" s="6" t="s">
        <v>36</v>
      </c>
      <c r="N3" s="6" t="s">
        <v>35</v>
      </c>
      <c r="O3" s="6" t="s">
        <v>36</v>
      </c>
      <c r="P3" s="6" t="s">
        <v>37</v>
      </c>
      <c r="Q3" s="6" t="s">
        <v>38</v>
      </c>
      <c r="R3" s="7" t="s">
        <v>3</v>
      </c>
      <c r="S3" s="6"/>
      <c r="T3" s="57"/>
      <c r="U3" s="57"/>
      <c r="V3" s="57"/>
      <c r="W3" s="57"/>
      <c r="X3" s="57"/>
      <c r="Y3" s="57"/>
      <c r="Z3" s="57"/>
      <c r="AA3" s="57"/>
      <c r="AC3" s="57"/>
      <c r="AD3" s="57"/>
      <c r="AE3" s="57"/>
      <c r="AF3" s="57"/>
    </row>
    <row r="4" spans="1:32" ht="13.5" customHeight="1" x14ac:dyDescent="0.25">
      <c r="A4" s="8"/>
      <c r="B4" s="9">
        <v>1</v>
      </c>
      <c r="C4" s="10" t="s">
        <v>39</v>
      </c>
      <c r="D4" s="9">
        <v>2</v>
      </c>
      <c r="E4" s="10" t="s">
        <v>39</v>
      </c>
      <c r="F4" s="9">
        <v>3</v>
      </c>
      <c r="G4" s="10" t="s">
        <v>39</v>
      </c>
      <c r="H4" s="9">
        <v>4</v>
      </c>
      <c r="I4" s="10" t="s">
        <v>39</v>
      </c>
      <c r="J4" s="9">
        <v>5</v>
      </c>
      <c r="K4" s="10" t="s">
        <v>39</v>
      </c>
      <c r="L4" s="9">
        <v>6</v>
      </c>
      <c r="M4" s="10" t="s">
        <v>39</v>
      </c>
      <c r="N4" s="9">
        <v>7</v>
      </c>
      <c r="O4" s="10" t="s">
        <v>39</v>
      </c>
      <c r="P4" s="10" t="s">
        <v>36</v>
      </c>
      <c r="Q4" s="9" t="s">
        <v>35</v>
      </c>
      <c r="R4" s="8"/>
      <c r="S4" s="9" t="s">
        <v>40</v>
      </c>
      <c r="T4" s="57"/>
      <c r="U4" s="57"/>
      <c r="V4" s="57"/>
      <c r="W4" s="57"/>
      <c r="X4" s="57"/>
      <c r="Y4" s="57"/>
      <c r="Z4" s="57"/>
      <c r="AA4" s="57"/>
      <c r="AB4" s="65"/>
      <c r="AC4" s="57"/>
      <c r="AD4" s="57"/>
      <c r="AE4" s="57"/>
      <c r="AF4" s="57"/>
    </row>
    <row r="5" spans="1:32" ht="11.25" customHeight="1" x14ac:dyDescent="0.25">
      <c r="A5" s="8"/>
      <c r="B5" s="10" t="s">
        <v>41</v>
      </c>
      <c r="C5" s="9">
        <v>1</v>
      </c>
      <c r="D5" s="10" t="s">
        <v>42</v>
      </c>
      <c r="E5" s="9">
        <v>2</v>
      </c>
      <c r="F5" s="10" t="s">
        <v>43</v>
      </c>
      <c r="G5" s="9">
        <v>3</v>
      </c>
      <c r="H5" s="10" t="s">
        <v>44</v>
      </c>
      <c r="I5" s="9">
        <v>4</v>
      </c>
      <c r="J5" s="10" t="s">
        <v>45</v>
      </c>
      <c r="K5" s="9">
        <v>5</v>
      </c>
      <c r="L5" s="10" t="s">
        <v>46</v>
      </c>
      <c r="M5" s="9">
        <v>6</v>
      </c>
      <c r="N5" s="10" t="s">
        <v>47</v>
      </c>
      <c r="O5" s="9">
        <v>7</v>
      </c>
      <c r="P5" s="10" t="s">
        <v>48</v>
      </c>
      <c r="Q5" s="9"/>
      <c r="R5" s="8"/>
      <c r="S5" s="9" t="s">
        <v>49</v>
      </c>
      <c r="T5" s="57"/>
      <c r="U5" s="57"/>
      <c r="V5" s="57"/>
      <c r="W5" s="57"/>
      <c r="X5" s="57"/>
      <c r="Y5" s="57"/>
      <c r="Z5" s="57"/>
      <c r="AA5" s="57"/>
      <c r="AB5" s="65"/>
      <c r="AC5" s="57"/>
      <c r="AD5" s="57"/>
      <c r="AE5" s="57"/>
      <c r="AF5" s="57"/>
    </row>
    <row r="6" spans="1:32" ht="13.5" customHeight="1" x14ac:dyDescent="0.25">
      <c r="A6" s="42" t="s">
        <v>1</v>
      </c>
      <c r="B6" s="30">
        <f>B20/(R20+Hors_MAE_2025!L20)</f>
        <v>2.2501775388049101E-2</v>
      </c>
      <c r="C6" s="30">
        <f>C20/(MAE_2025!R20+Hors_MAE_2025!L20)</f>
        <v>0</v>
      </c>
      <c r="D6" s="30">
        <f>D20/(MAE_2025!R20+Hors_MAE_2025!L20)</f>
        <v>0.10741604950796388</v>
      </c>
      <c r="E6" s="30">
        <f>E20/(MAE_2025!R20+Hors_MAE_2025!L20)</f>
        <v>1.5014710358121131E-3</v>
      </c>
      <c r="F6" s="30">
        <f>F20/(MAE_2025!R20+Hors_MAE_2025!L20)</f>
        <v>0.44530790301308715</v>
      </c>
      <c r="G6" s="30">
        <f>G20/(MAE_2025!R20+Hors_MAE_2025!L20)</f>
        <v>2.4145277467789387E-3</v>
      </c>
      <c r="H6" s="30">
        <f>H20/(MAE_2025!R20+Hors_MAE_2025!L20)</f>
        <v>4.0113624835142539E-2</v>
      </c>
      <c r="I6" s="30">
        <f>I20/(MAE_2025!R20+Hors_MAE_2025!L20)</f>
        <v>8.5218626356903726E-4</v>
      </c>
      <c r="J6" s="30">
        <f>J20/(MAE_2025!R20+Hors_MAE_2025!L20)</f>
        <v>3.1814953839910724E-2</v>
      </c>
      <c r="K6" s="30">
        <f>K20/(MAE_2025!R20+Hors_MAE_2025!L20)</f>
        <v>4.0580298265192249E-5</v>
      </c>
      <c r="L6" s="30">
        <f>L20/(MAE_2025!R20+Hors_MAE_2025!L20)</f>
        <v>2.0168408237800549E-2</v>
      </c>
      <c r="M6" s="30">
        <f>M20/(MAE_2025!R20+Hors_MAE_2025!L20)</f>
        <v>0</v>
      </c>
      <c r="N6" s="30">
        <f>N20/(MAE_2025!R20+Hors_MAE_2025!L20)</f>
        <v>1.9600284062087855E-2</v>
      </c>
      <c r="O6" s="30">
        <f>O20/(MAE_2025!R20+Hors_MAE_2025!L20)</f>
        <v>6.0870447397788371E-5</v>
      </c>
      <c r="P6" s="30">
        <f>P20/(MAE_2025!R20+Hors_MAE_2025!L20)</f>
        <v>5.2754387744749921E-4</v>
      </c>
      <c r="Q6" s="30">
        <f>Q20/(MAE_2025!R20+Hors_MAE_2025!L20)</f>
        <v>1.136248351425383E-3</v>
      </c>
      <c r="R6" s="30">
        <f>R20/(MAE_2025!R20+Hors_MAE_2025!L20)</f>
        <v>0.69345642690473774</v>
      </c>
      <c r="S6" s="12"/>
      <c r="T6" s="57"/>
      <c r="U6" s="57"/>
      <c r="V6" s="57"/>
      <c r="W6" s="57"/>
      <c r="X6" s="57"/>
      <c r="Y6" s="57"/>
      <c r="Z6" s="57"/>
      <c r="AA6" s="57"/>
      <c r="AC6" s="57"/>
      <c r="AD6" s="57"/>
      <c r="AE6" s="57"/>
      <c r="AF6" s="57"/>
    </row>
    <row r="7" spans="1:32" ht="12.75" customHeight="1" x14ac:dyDescent="0.25">
      <c r="A7" s="5" t="s">
        <v>50</v>
      </c>
      <c r="B7" s="6">
        <v>176</v>
      </c>
      <c r="C7" s="6"/>
      <c r="D7" s="6">
        <v>1149</v>
      </c>
      <c r="E7" s="6">
        <v>13</v>
      </c>
      <c r="F7" s="6">
        <v>5152</v>
      </c>
      <c r="G7" s="6">
        <v>34</v>
      </c>
      <c r="H7" s="6">
        <v>442</v>
      </c>
      <c r="I7" s="6"/>
      <c r="J7" s="6">
        <v>360</v>
      </c>
      <c r="K7" s="6"/>
      <c r="L7" s="6">
        <v>200</v>
      </c>
      <c r="M7" s="6"/>
      <c r="N7" s="6">
        <v>214</v>
      </c>
      <c r="O7" s="6">
        <v>3</v>
      </c>
      <c r="P7" s="6">
        <v>6</v>
      </c>
      <c r="Q7" s="6">
        <v>11</v>
      </c>
      <c r="R7" s="43">
        <f t="shared" ref="R7:R18" si="0">SUM(B7:Q7)</f>
        <v>7760</v>
      </c>
      <c r="S7" s="6">
        <v>22</v>
      </c>
      <c r="T7" s="57"/>
      <c r="U7" s="57"/>
      <c r="V7" s="57"/>
      <c r="W7" s="57"/>
      <c r="X7" s="57"/>
      <c r="Y7" s="57"/>
      <c r="Z7" s="57"/>
      <c r="AA7" s="57"/>
      <c r="AC7" s="57"/>
      <c r="AD7" s="57"/>
      <c r="AE7" s="57"/>
      <c r="AF7" s="57"/>
    </row>
    <row r="8" spans="1:32" ht="12.75" customHeight="1" x14ac:dyDescent="0.25">
      <c r="A8" s="15" t="s">
        <v>51</v>
      </c>
      <c r="B8" s="10">
        <v>250</v>
      </c>
      <c r="C8" s="10"/>
      <c r="D8" s="10">
        <v>1024</v>
      </c>
      <c r="E8" s="10">
        <v>25</v>
      </c>
      <c r="F8" s="10">
        <v>4203</v>
      </c>
      <c r="G8" s="10">
        <v>29</v>
      </c>
      <c r="H8" s="10">
        <v>367</v>
      </c>
      <c r="I8" s="10">
        <v>7</v>
      </c>
      <c r="J8" s="10">
        <v>315</v>
      </c>
      <c r="K8" s="10">
        <v>1</v>
      </c>
      <c r="L8" s="10">
        <v>166</v>
      </c>
      <c r="M8" s="10"/>
      <c r="N8" s="10">
        <v>161</v>
      </c>
      <c r="O8" s="10"/>
      <c r="P8" s="10">
        <v>3</v>
      </c>
      <c r="Q8" s="10">
        <v>13</v>
      </c>
      <c r="R8" s="33">
        <f t="shared" si="0"/>
        <v>6564</v>
      </c>
      <c r="S8" s="10">
        <v>20</v>
      </c>
      <c r="T8" s="57"/>
      <c r="U8" s="57"/>
      <c r="V8" s="71"/>
      <c r="W8" s="71"/>
      <c r="X8" s="71"/>
      <c r="Y8" s="71"/>
      <c r="Z8" s="71"/>
      <c r="AA8" s="57"/>
      <c r="AC8" s="57"/>
      <c r="AD8" s="57"/>
      <c r="AE8" s="57"/>
      <c r="AF8" s="57"/>
    </row>
    <row r="9" spans="1:32" ht="12.75" customHeight="1" x14ac:dyDescent="0.25">
      <c r="A9" s="15" t="s">
        <v>52</v>
      </c>
      <c r="B9" s="10">
        <v>177</v>
      </c>
      <c r="C9" s="10"/>
      <c r="D9" s="10">
        <v>1197</v>
      </c>
      <c r="E9" s="10">
        <v>9</v>
      </c>
      <c r="F9" s="10">
        <v>4862</v>
      </c>
      <c r="G9" s="10">
        <v>12</v>
      </c>
      <c r="H9" s="10">
        <v>434</v>
      </c>
      <c r="I9" s="10">
        <v>3</v>
      </c>
      <c r="J9" s="10">
        <v>371</v>
      </c>
      <c r="K9" s="10"/>
      <c r="L9" s="10">
        <v>238</v>
      </c>
      <c r="M9" s="10"/>
      <c r="N9" s="10">
        <v>219</v>
      </c>
      <c r="O9" s="10"/>
      <c r="P9" s="10">
        <v>5</v>
      </c>
      <c r="Q9" s="10">
        <v>7</v>
      </c>
      <c r="R9" s="33">
        <f t="shared" si="0"/>
        <v>7534</v>
      </c>
      <c r="S9" s="10">
        <v>21</v>
      </c>
      <c r="T9" s="57"/>
      <c r="U9" s="57"/>
      <c r="V9" s="57"/>
      <c r="W9" s="57"/>
      <c r="X9" s="57"/>
      <c r="Y9" s="57"/>
      <c r="Z9" s="57"/>
      <c r="AA9" s="57"/>
      <c r="AC9" s="57"/>
    </row>
    <row r="10" spans="1:32" ht="12.75" customHeight="1" x14ac:dyDescent="0.25">
      <c r="A10" s="15" t="s">
        <v>53</v>
      </c>
      <c r="B10" s="10">
        <v>206</v>
      </c>
      <c r="C10" s="10"/>
      <c r="D10" s="10">
        <v>954</v>
      </c>
      <c r="E10" s="10">
        <v>16</v>
      </c>
      <c r="F10" s="10">
        <v>4086</v>
      </c>
      <c r="G10" s="10">
        <v>30</v>
      </c>
      <c r="H10" s="10">
        <v>386</v>
      </c>
      <c r="I10" s="10">
        <v>19</v>
      </c>
      <c r="J10" s="10">
        <v>275</v>
      </c>
      <c r="K10" s="10"/>
      <c r="L10" s="10">
        <v>188</v>
      </c>
      <c r="M10" s="10"/>
      <c r="N10" s="10">
        <v>200</v>
      </c>
      <c r="O10" s="10"/>
      <c r="P10" s="10">
        <v>6</v>
      </c>
      <c r="Q10" s="10">
        <v>11</v>
      </c>
      <c r="R10" s="33">
        <f t="shared" si="0"/>
        <v>6377</v>
      </c>
      <c r="S10" s="10">
        <v>21</v>
      </c>
      <c r="T10" s="57"/>
      <c r="U10" s="57"/>
      <c r="V10" s="71"/>
      <c r="W10" s="57"/>
      <c r="X10" s="57"/>
      <c r="Y10" s="57"/>
      <c r="Z10" s="57"/>
      <c r="AA10" s="57"/>
      <c r="AC10" s="57"/>
    </row>
    <row r="11" spans="1:32" ht="12.75" customHeight="1" x14ac:dyDescent="0.25">
      <c r="A11" s="15" t="s">
        <v>54</v>
      </c>
      <c r="B11" s="10">
        <v>300</v>
      </c>
      <c r="C11" s="10"/>
      <c r="D11" s="10">
        <v>970</v>
      </c>
      <c r="E11" s="10">
        <v>11</v>
      </c>
      <c r="F11" s="10">
        <v>3644</v>
      </c>
      <c r="G11" s="10">
        <v>14</v>
      </c>
      <c r="H11" s="10">
        <v>348</v>
      </c>
      <c r="I11" s="10">
        <v>13</v>
      </c>
      <c r="J11" s="10">
        <v>247</v>
      </c>
      <c r="K11" s="10">
        <v>1</v>
      </c>
      <c r="L11" s="10">
        <v>202</v>
      </c>
      <c r="M11" s="10"/>
      <c r="N11" s="10">
        <v>172</v>
      </c>
      <c r="O11" s="10"/>
      <c r="P11" s="10">
        <v>6</v>
      </c>
      <c r="Q11" s="10">
        <v>14</v>
      </c>
      <c r="R11" s="33">
        <f t="shared" si="0"/>
        <v>5942</v>
      </c>
      <c r="S11" s="10">
        <v>19</v>
      </c>
      <c r="T11" s="57"/>
      <c r="U11" s="57"/>
      <c r="V11" s="57"/>
      <c r="W11" s="57"/>
      <c r="X11" s="57"/>
      <c r="Y11" s="57"/>
      <c r="Z11" s="57"/>
      <c r="AA11" s="57"/>
      <c r="AC11" s="57"/>
    </row>
    <row r="12" spans="1:32" ht="12.75" customHeight="1" x14ac:dyDescent="0.25">
      <c r="A12" s="15" t="s">
        <v>55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33">
        <f t="shared" si="0"/>
        <v>0</v>
      </c>
      <c r="S12" s="10"/>
      <c r="T12" s="57"/>
      <c r="U12" s="57"/>
      <c r="V12" s="57"/>
      <c r="W12" s="57"/>
      <c r="X12" s="57"/>
      <c r="Y12" s="57"/>
      <c r="Z12" s="57"/>
      <c r="AA12" s="57"/>
      <c r="AC12" s="57"/>
    </row>
    <row r="13" spans="1:32" ht="12.75" customHeight="1" x14ac:dyDescent="0.25">
      <c r="A13" s="15" t="s">
        <v>56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33">
        <f t="shared" si="0"/>
        <v>0</v>
      </c>
      <c r="S13" s="10"/>
      <c r="T13" s="57"/>
      <c r="U13" s="57"/>
      <c r="V13" s="57"/>
      <c r="W13" s="57"/>
      <c r="X13" s="57"/>
      <c r="Y13" s="57"/>
      <c r="Z13" s="57"/>
      <c r="AA13" s="57"/>
      <c r="AC13" s="57"/>
    </row>
    <row r="14" spans="1:32" ht="12.75" customHeight="1" x14ac:dyDescent="0.25">
      <c r="A14" s="15" t="s">
        <v>57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33">
        <f t="shared" si="0"/>
        <v>0</v>
      </c>
      <c r="S14" s="10"/>
      <c r="T14" s="57"/>
      <c r="U14" s="57"/>
      <c r="V14" s="57"/>
      <c r="W14" s="57"/>
      <c r="X14" s="57"/>
      <c r="Y14" s="57"/>
      <c r="Z14" s="57"/>
      <c r="AA14" s="57"/>
      <c r="AC14" s="57"/>
    </row>
    <row r="15" spans="1:32" ht="12.75" customHeight="1" x14ac:dyDescent="0.25">
      <c r="A15" s="15" t="s">
        <v>58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33">
        <f t="shared" si="0"/>
        <v>0</v>
      </c>
      <c r="S15" s="10"/>
      <c r="T15" s="57"/>
      <c r="U15" s="57"/>
      <c r="V15" s="57"/>
      <c r="W15" s="57"/>
      <c r="X15" s="57"/>
      <c r="Y15" s="57"/>
      <c r="Z15" s="57"/>
      <c r="AA15" s="57"/>
      <c r="AC15" s="57"/>
    </row>
    <row r="16" spans="1:32" ht="12.75" customHeight="1" x14ac:dyDescent="0.25">
      <c r="A16" s="15" t="s">
        <v>59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33">
        <f t="shared" si="0"/>
        <v>0</v>
      </c>
      <c r="S16" s="10"/>
      <c r="T16" s="57"/>
      <c r="U16" s="57"/>
      <c r="V16" s="57"/>
      <c r="W16" s="57"/>
      <c r="X16" s="57"/>
      <c r="Y16" s="57"/>
      <c r="Z16" s="57"/>
      <c r="AA16" s="57"/>
      <c r="AC16" s="57"/>
    </row>
    <row r="17" spans="1:29" ht="12.75" customHeight="1" x14ac:dyDescent="0.25">
      <c r="A17" s="15" t="s">
        <v>60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33">
        <f t="shared" si="0"/>
        <v>0</v>
      </c>
      <c r="S17" s="10"/>
      <c r="T17" s="57"/>
      <c r="U17" s="57"/>
      <c r="V17" s="57"/>
      <c r="W17" s="57"/>
      <c r="X17" s="57"/>
      <c r="Y17" s="57"/>
      <c r="Z17" s="57"/>
      <c r="AA17" s="57"/>
      <c r="AC17" s="57"/>
    </row>
    <row r="18" spans="1:29" ht="12.75" customHeight="1" x14ac:dyDescent="0.25">
      <c r="A18" s="15" t="s">
        <v>61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33">
        <f t="shared" si="0"/>
        <v>0</v>
      </c>
      <c r="S18" s="10"/>
      <c r="T18" s="57"/>
      <c r="U18" s="57"/>
      <c r="V18" s="57"/>
      <c r="W18" s="57"/>
      <c r="X18" s="57"/>
      <c r="Y18" s="57"/>
      <c r="Z18" s="57"/>
      <c r="AA18" s="57"/>
      <c r="AB18" s="57"/>
      <c r="AC18" s="57"/>
    </row>
    <row r="19" spans="1:29" ht="12.75" customHeight="1" x14ac:dyDescent="0.25">
      <c r="A19" s="15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33"/>
      <c r="S19" s="10"/>
      <c r="T19" s="57"/>
      <c r="U19" s="57"/>
      <c r="V19" s="57"/>
      <c r="W19" s="57"/>
      <c r="X19" s="57"/>
      <c r="Y19" s="57"/>
      <c r="Z19" s="57"/>
      <c r="AA19" s="57"/>
      <c r="AC19" s="57"/>
    </row>
    <row r="20" spans="1:29" ht="12.75" customHeight="1" x14ac:dyDescent="0.25">
      <c r="A20" s="16" t="s">
        <v>3</v>
      </c>
      <c r="B20" s="17">
        <f t="shared" ref="B20:S20" si="1">SUM(B7:B19)</f>
        <v>1109</v>
      </c>
      <c r="C20" s="17">
        <f t="shared" si="1"/>
        <v>0</v>
      </c>
      <c r="D20" s="17">
        <f t="shared" si="1"/>
        <v>5294</v>
      </c>
      <c r="E20" s="17">
        <f t="shared" si="1"/>
        <v>74</v>
      </c>
      <c r="F20" s="17">
        <f t="shared" si="1"/>
        <v>21947</v>
      </c>
      <c r="G20" s="17">
        <f t="shared" si="1"/>
        <v>119</v>
      </c>
      <c r="H20" s="17">
        <f t="shared" si="1"/>
        <v>1977</v>
      </c>
      <c r="I20" s="17">
        <f t="shared" si="1"/>
        <v>42</v>
      </c>
      <c r="J20" s="17">
        <f t="shared" si="1"/>
        <v>1568</v>
      </c>
      <c r="K20" s="17">
        <f t="shared" si="1"/>
        <v>2</v>
      </c>
      <c r="L20" s="17">
        <f t="shared" si="1"/>
        <v>994</v>
      </c>
      <c r="M20" s="17">
        <f t="shared" si="1"/>
        <v>0</v>
      </c>
      <c r="N20" s="17">
        <f t="shared" si="1"/>
        <v>966</v>
      </c>
      <c r="O20" s="17">
        <f t="shared" si="1"/>
        <v>3</v>
      </c>
      <c r="P20" s="17">
        <f t="shared" si="1"/>
        <v>26</v>
      </c>
      <c r="Q20" s="17">
        <f t="shared" si="1"/>
        <v>56</v>
      </c>
      <c r="R20" s="44">
        <f t="shared" si="1"/>
        <v>34177</v>
      </c>
      <c r="S20" s="17">
        <f t="shared" si="1"/>
        <v>103</v>
      </c>
      <c r="T20" s="57"/>
      <c r="U20" s="57"/>
      <c r="V20" s="57"/>
      <c r="W20" s="57"/>
      <c r="X20" s="57"/>
      <c r="Y20" s="57"/>
      <c r="Z20" s="57"/>
      <c r="AA20" s="57"/>
      <c r="AB20" s="57"/>
      <c r="AC20" s="57"/>
    </row>
    <row r="21" spans="1:29" ht="12.75" customHeight="1" x14ac:dyDescent="0.25">
      <c r="T21" s="57"/>
      <c r="U21" s="57"/>
      <c r="V21" s="57"/>
      <c r="W21" s="57"/>
      <c r="X21" s="57"/>
      <c r="Y21" s="57"/>
      <c r="Z21" s="57"/>
      <c r="AA21" s="57"/>
      <c r="AB21" s="57"/>
      <c r="AC21" s="57"/>
    </row>
    <row r="22" spans="1:29" ht="12.75" customHeight="1" x14ac:dyDescent="0.25">
      <c r="R22" s="4" t="s">
        <v>34</v>
      </c>
      <c r="S22" s="19">
        <f>R20/S20</f>
        <v>331.81553398058253</v>
      </c>
      <c r="T22" s="57"/>
      <c r="U22" s="57"/>
      <c r="V22" s="57"/>
      <c r="W22" s="57"/>
      <c r="X22" s="57"/>
      <c r="Y22" s="57"/>
      <c r="Z22" s="57"/>
      <c r="AA22" s="57"/>
      <c r="AB22" s="57"/>
      <c r="AC22" s="57"/>
    </row>
    <row r="23" spans="1:29" s="66" customFormat="1" ht="12.75" customHeight="1" x14ac:dyDescent="0.25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4"/>
      <c r="S23" s="3"/>
      <c r="T23" s="57"/>
      <c r="U23" s="57"/>
      <c r="V23" s="57"/>
      <c r="W23" s="57"/>
      <c r="X23" s="57"/>
      <c r="Y23" s="57"/>
      <c r="Z23" s="57"/>
      <c r="AA23" s="57"/>
      <c r="AB23" s="57"/>
      <c r="AC23" s="57"/>
    </row>
    <row r="24" spans="1:29" s="66" customFormat="1" ht="12.75" customHeight="1" x14ac:dyDescent="0.25">
      <c r="A24" s="84" t="s">
        <v>124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4"/>
      <c r="S24" s="3"/>
      <c r="T24" s="57"/>
      <c r="U24" s="57"/>
      <c r="V24" s="57"/>
      <c r="W24" s="57"/>
      <c r="X24" s="57"/>
      <c r="Y24" s="57"/>
      <c r="Z24" s="57"/>
      <c r="AA24" s="57"/>
      <c r="AB24" s="57"/>
      <c r="AC24" s="57"/>
    </row>
    <row r="25" spans="1:29" s="66" customFormat="1" ht="12.75" customHeight="1" x14ac:dyDescent="0.25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4"/>
      <c r="S25" s="3"/>
      <c r="T25" s="57"/>
      <c r="U25" s="57"/>
      <c r="V25" s="57"/>
      <c r="W25" s="57"/>
      <c r="X25" s="57"/>
      <c r="Y25" s="57"/>
      <c r="Z25" s="57"/>
      <c r="AA25" s="57"/>
      <c r="AB25" s="57"/>
      <c r="AC25" s="57"/>
    </row>
    <row r="26" spans="1:29" s="66" customFormat="1" ht="12.75" customHeight="1" x14ac:dyDescent="0.25">
      <c r="A26" s="1"/>
      <c r="B26" s="3" t="s">
        <v>107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4"/>
      <c r="S26" s="3"/>
      <c r="T26" s="57"/>
      <c r="U26" s="57"/>
      <c r="V26" s="57"/>
      <c r="W26" s="57"/>
      <c r="X26" s="57"/>
      <c r="Y26" s="57"/>
      <c r="Z26" s="57"/>
      <c r="AA26" s="57"/>
      <c r="AB26" s="57"/>
      <c r="AC26" s="57"/>
    </row>
    <row r="27" spans="1:29" s="66" customFormat="1" ht="12.75" customHeight="1" x14ac:dyDescent="0.25">
      <c r="A27" s="1" t="s">
        <v>108</v>
      </c>
      <c r="B27" s="3">
        <v>505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4"/>
      <c r="S27" s="3"/>
      <c r="T27" s="57"/>
      <c r="U27" s="57"/>
      <c r="V27" s="57"/>
      <c r="W27" s="57"/>
      <c r="X27" s="57"/>
      <c r="Y27" s="57"/>
      <c r="Z27" s="57"/>
      <c r="AA27" s="57"/>
      <c r="AB27" s="57"/>
      <c r="AC27" s="57"/>
    </row>
    <row r="28" spans="1:29" s="66" customFormat="1" ht="12.75" customHeight="1" x14ac:dyDescent="0.25">
      <c r="A28" s="1" t="s">
        <v>109</v>
      </c>
      <c r="B28" s="3">
        <v>571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4"/>
      <c r="S28" s="3"/>
      <c r="T28" s="57"/>
      <c r="U28" s="57"/>
      <c r="V28" s="57"/>
      <c r="W28" s="57"/>
      <c r="X28" s="57"/>
      <c r="Y28" s="57"/>
      <c r="Z28" s="57"/>
      <c r="AA28" s="57"/>
      <c r="AB28" s="57"/>
      <c r="AC28" s="57"/>
    </row>
    <row r="29" spans="1:29" s="66" customFormat="1" ht="12.75" customHeight="1" x14ac:dyDescent="0.25">
      <c r="A29" s="1" t="s">
        <v>110</v>
      </c>
      <c r="B29" s="3">
        <v>515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4"/>
      <c r="S29" s="3"/>
      <c r="T29" s="57"/>
      <c r="U29" s="57"/>
      <c r="V29" s="57"/>
      <c r="W29" s="57"/>
      <c r="X29" s="57"/>
      <c r="Y29" s="57"/>
      <c r="Z29" s="57"/>
      <c r="AA29" s="57"/>
      <c r="AB29" s="57"/>
      <c r="AC29" s="57"/>
    </row>
    <row r="30" spans="1:29" s="66" customFormat="1" ht="12.75" customHeight="1" x14ac:dyDescent="0.25">
      <c r="A30" s="1" t="s">
        <v>111</v>
      </c>
      <c r="B30" s="3">
        <v>553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4"/>
      <c r="S30" s="3"/>
      <c r="T30" s="57"/>
      <c r="U30" s="57"/>
      <c r="V30" s="57"/>
      <c r="W30" s="57"/>
      <c r="X30" s="57"/>
      <c r="Y30" s="57"/>
      <c r="Z30" s="57"/>
      <c r="AA30" s="57"/>
      <c r="AB30" s="57"/>
      <c r="AC30" s="57"/>
    </row>
    <row r="31" spans="1:29" s="66" customFormat="1" ht="12.75" customHeight="1" x14ac:dyDescent="0.25">
      <c r="A31" s="1" t="s">
        <v>112</v>
      </c>
      <c r="B31" s="3">
        <v>371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4"/>
      <c r="S31" s="3"/>
      <c r="T31" s="57"/>
      <c r="U31" s="57"/>
      <c r="V31" s="57"/>
      <c r="W31" s="57"/>
      <c r="X31" s="57"/>
      <c r="Y31" s="57"/>
      <c r="Z31" s="57"/>
      <c r="AA31" s="57"/>
      <c r="AB31" s="57"/>
      <c r="AC31" s="57"/>
    </row>
    <row r="32" spans="1:29" s="66" customFormat="1" ht="12.75" customHeight="1" x14ac:dyDescent="0.25">
      <c r="A32" s="1" t="s">
        <v>113</v>
      </c>
      <c r="B32" s="3" t="s">
        <v>114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4"/>
      <c r="S32" s="3"/>
      <c r="T32" s="57"/>
      <c r="U32" s="57"/>
      <c r="V32" s="57"/>
      <c r="W32" s="57"/>
      <c r="X32" s="57"/>
      <c r="Y32" s="57"/>
      <c r="Z32" s="57"/>
      <c r="AA32" s="57"/>
      <c r="AB32" s="57"/>
      <c r="AC32" s="57"/>
    </row>
    <row r="33" spans="1:29" s="66" customFormat="1" ht="12.75" customHeight="1" x14ac:dyDescent="0.25">
      <c r="A33" s="1" t="s">
        <v>115</v>
      </c>
      <c r="B33" s="3">
        <v>484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4"/>
      <c r="S33" s="3"/>
      <c r="T33" s="57"/>
      <c r="U33" s="57"/>
      <c r="V33" s="57"/>
      <c r="W33" s="57"/>
      <c r="X33" s="57"/>
      <c r="Y33" s="57"/>
      <c r="Z33" s="57"/>
      <c r="AA33" s="57"/>
      <c r="AB33" s="57"/>
      <c r="AC33" s="57"/>
    </row>
    <row r="34" spans="1:29" s="66" customFormat="1" ht="12.75" customHeight="1" x14ac:dyDescent="0.25">
      <c r="A34" s="1" t="s">
        <v>116</v>
      </c>
      <c r="B34" s="3">
        <v>459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4"/>
      <c r="S34" s="3"/>
      <c r="T34" s="57"/>
      <c r="U34" s="57"/>
      <c r="V34" s="57"/>
      <c r="W34" s="57"/>
      <c r="X34" s="57"/>
      <c r="Y34" s="57"/>
      <c r="Z34" s="57"/>
      <c r="AA34" s="57"/>
      <c r="AB34" s="57"/>
      <c r="AC34" s="57"/>
    </row>
    <row r="35" spans="1:29" s="66" customFormat="1" ht="12.75" customHeight="1" x14ac:dyDescent="0.25">
      <c r="A35" s="1" t="s">
        <v>117</v>
      </c>
      <c r="B35" s="3">
        <v>520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4"/>
      <c r="S35" s="3"/>
      <c r="T35" s="57"/>
      <c r="U35" s="57"/>
      <c r="V35" s="57"/>
      <c r="W35" s="57"/>
      <c r="X35" s="57"/>
      <c r="Y35" s="57"/>
      <c r="Z35" s="57"/>
      <c r="AA35" s="57"/>
      <c r="AB35" s="57"/>
      <c r="AC35" s="57"/>
    </row>
    <row r="36" spans="1:29" s="66" customFormat="1" ht="12.75" customHeight="1" x14ac:dyDescent="0.25">
      <c r="A36" s="1" t="s">
        <v>118</v>
      </c>
      <c r="B36" s="3">
        <v>399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4"/>
      <c r="S36" s="3"/>
      <c r="T36" s="57"/>
      <c r="U36" s="57"/>
      <c r="V36" s="57"/>
      <c r="W36" s="57"/>
      <c r="X36" s="57"/>
      <c r="Y36" s="57"/>
      <c r="Z36" s="57"/>
      <c r="AA36" s="57"/>
      <c r="AB36" s="57"/>
      <c r="AC36" s="57"/>
    </row>
    <row r="37" spans="1:29" s="66" customFormat="1" ht="12.75" customHeight="1" x14ac:dyDescent="0.25">
      <c r="A37" s="1" t="s">
        <v>119</v>
      </c>
      <c r="B37" s="3">
        <v>545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4"/>
      <c r="S37" s="3"/>
      <c r="T37" s="57"/>
      <c r="U37" s="57"/>
      <c r="V37" s="57"/>
      <c r="W37" s="57"/>
      <c r="X37" s="57"/>
      <c r="Y37" s="57"/>
      <c r="Z37" s="57"/>
      <c r="AA37" s="57"/>
      <c r="AB37" s="57"/>
      <c r="AC37" s="57"/>
    </row>
    <row r="38" spans="1:29" s="66" customFormat="1" ht="12.75" customHeight="1" x14ac:dyDescent="0.25">
      <c r="A38" s="1" t="s">
        <v>120</v>
      </c>
      <c r="B38" s="3">
        <v>570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4"/>
      <c r="S38" s="3"/>
      <c r="T38" s="57"/>
      <c r="U38" s="57"/>
      <c r="V38" s="57"/>
      <c r="W38" s="57"/>
      <c r="X38" s="57"/>
      <c r="Y38" s="57"/>
      <c r="Z38" s="57"/>
      <c r="AA38" s="57"/>
      <c r="AB38" s="57"/>
      <c r="AC38" s="57"/>
    </row>
    <row r="39" spans="1:29" s="66" customFormat="1" ht="12.75" customHeight="1" x14ac:dyDescent="0.25">
      <c r="A39" s="1" t="s">
        <v>121</v>
      </c>
      <c r="B39" s="3">
        <v>492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4"/>
      <c r="S39" s="3"/>
      <c r="T39" s="57"/>
      <c r="U39" s="57"/>
      <c r="V39" s="57"/>
      <c r="W39" s="57"/>
      <c r="X39" s="57"/>
      <c r="Y39" s="57"/>
      <c r="Z39" s="57"/>
      <c r="AA39" s="57"/>
      <c r="AB39" s="57"/>
      <c r="AC39" s="57"/>
    </row>
    <row r="40" spans="1:29" s="66" customFormat="1" ht="12.75" customHeight="1" x14ac:dyDescent="0.25">
      <c r="A40" s="1" t="s">
        <v>122</v>
      </c>
      <c r="B40" s="3">
        <v>551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4"/>
      <c r="S40" s="3"/>
      <c r="T40" s="57"/>
      <c r="U40" s="57"/>
      <c r="V40" s="57"/>
      <c r="W40" s="57"/>
      <c r="X40" s="57"/>
      <c r="Y40" s="57"/>
      <c r="Z40" s="57"/>
      <c r="AA40" s="57"/>
      <c r="AB40" s="57"/>
      <c r="AC40" s="57"/>
    </row>
    <row r="41" spans="1:29" s="66" customFormat="1" ht="12.75" customHeight="1" x14ac:dyDescent="0.25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4"/>
      <c r="S41" s="3"/>
      <c r="T41" s="57"/>
      <c r="U41" s="57"/>
      <c r="V41" s="57"/>
      <c r="W41" s="57"/>
      <c r="X41" s="57"/>
      <c r="Y41" s="57"/>
      <c r="Z41" s="57"/>
      <c r="AA41" s="57"/>
      <c r="AB41" s="57"/>
      <c r="AC41" s="57"/>
    </row>
    <row r="42" spans="1:29" s="66" customFormat="1" ht="12.75" customHeight="1" x14ac:dyDescent="0.25">
      <c r="A42" s="1"/>
      <c r="B42" s="3">
        <f>SUM(B27:B40)</f>
        <v>6535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4"/>
      <c r="S42" s="3"/>
      <c r="T42" s="57"/>
      <c r="U42" s="57"/>
      <c r="V42" s="57"/>
      <c r="W42" s="57"/>
      <c r="X42" s="57"/>
      <c r="Y42" s="57"/>
      <c r="Z42" s="57"/>
      <c r="AA42" s="57"/>
      <c r="AB42" s="57"/>
      <c r="AC42" s="57"/>
    </row>
    <row r="43" spans="1:29" s="66" customFormat="1" ht="12.75" customHeight="1" x14ac:dyDescent="0.25">
      <c r="A43" s="1" t="s">
        <v>123</v>
      </c>
      <c r="B43" s="83">
        <f>B42/13</f>
        <v>502.69230769230768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4"/>
      <c r="S43" s="3"/>
      <c r="T43" s="57"/>
      <c r="U43" s="57"/>
      <c r="V43" s="57"/>
      <c r="W43" s="57"/>
      <c r="X43" s="57"/>
      <c r="Y43" s="57"/>
      <c r="Z43" s="57"/>
      <c r="AA43" s="57"/>
      <c r="AB43" s="57"/>
      <c r="AC43" s="57"/>
    </row>
    <row r="44" spans="1:29" s="66" customFormat="1" ht="12.75" customHeight="1" x14ac:dyDescent="0.25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4"/>
      <c r="S44" s="3"/>
      <c r="T44" s="57"/>
      <c r="U44" s="57"/>
      <c r="V44" s="57"/>
      <c r="W44" s="57"/>
      <c r="X44" s="57"/>
      <c r="Y44" s="57"/>
      <c r="Z44" s="57"/>
      <c r="AA44" s="57"/>
      <c r="AB44" s="57"/>
      <c r="AC44" s="57"/>
    </row>
    <row r="45" spans="1:29" s="66" customFormat="1" ht="12.75" customHeight="1" x14ac:dyDescent="0.25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4"/>
      <c r="S45" s="3"/>
      <c r="T45" s="57"/>
      <c r="U45" s="57"/>
      <c r="V45" s="57"/>
      <c r="W45" s="57"/>
      <c r="X45" s="57"/>
      <c r="Y45" s="57"/>
      <c r="Z45" s="57"/>
      <c r="AA45" s="57"/>
      <c r="AB45" s="57"/>
      <c r="AC45" s="57"/>
    </row>
    <row r="46" spans="1:29" s="66" customFormat="1" ht="12.75" customHeight="1" x14ac:dyDescent="0.25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4"/>
      <c r="S46" s="3"/>
      <c r="T46" s="57"/>
      <c r="U46" s="57"/>
      <c r="V46" s="57"/>
      <c r="W46" s="57"/>
      <c r="X46" s="57"/>
      <c r="Y46" s="57"/>
      <c r="Z46" s="57"/>
      <c r="AA46" s="57"/>
      <c r="AB46" s="57"/>
      <c r="AC46" s="57"/>
    </row>
    <row r="47" spans="1:29" s="66" customFormat="1" ht="12.75" customHeight="1" x14ac:dyDescent="0.25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4"/>
      <c r="S47" s="3"/>
      <c r="T47" s="57"/>
      <c r="U47" s="57"/>
      <c r="V47" s="57"/>
      <c r="W47" s="57"/>
      <c r="X47" s="57"/>
      <c r="Y47" s="57"/>
      <c r="Z47" s="57"/>
      <c r="AA47" s="57"/>
      <c r="AB47" s="57"/>
      <c r="AC47" s="57"/>
    </row>
    <row r="48" spans="1:29" s="66" customFormat="1" ht="12.75" customHeight="1" x14ac:dyDescent="0.25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4"/>
      <c r="S48" s="3"/>
      <c r="T48" s="57"/>
      <c r="U48" s="57"/>
      <c r="V48" s="57"/>
      <c r="W48" s="57"/>
      <c r="X48" s="57"/>
      <c r="Y48" s="57"/>
      <c r="Z48" s="57"/>
      <c r="AA48" s="57"/>
      <c r="AB48" s="57"/>
      <c r="AC48" s="57"/>
    </row>
    <row r="49" spans="1:29" s="66" customFormat="1" ht="12.75" customHeight="1" x14ac:dyDescent="0.25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4"/>
      <c r="S49" s="3"/>
      <c r="T49" s="57"/>
      <c r="U49" s="57"/>
      <c r="V49" s="57"/>
      <c r="W49" s="57"/>
      <c r="X49" s="57"/>
      <c r="Y49" s="57"/>
      <c r="Z49" s="57"/>
      <c r="AA49" s="57"/>
      <c r="AB49" s="57"/>
      <c r="AC49" s="57"/>
    </row>
    <row r="50" spans="1:29" s="66" customFormat="1" ht="12.75" customHeight="1" x14ac:dyDescent="0.25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4"/>
      <c r="S50" s="3"/>
      <c r="T50" s="57"/>
      <c r="U50" s="57"/>
      <c r="V50" s="57"/>
      <c r="W50" s="57"/>
      <c r="X50" s="57"/>
      <c r="Y50" s="57"/>
      <c r="Z50" s="57"/>
      <c r="AA50" s="57"/>
      <c r="AB50" s="57"/>
      <c r="AC50" s="57"/>
    </row>
    <row r="51" spans="1:29" s="66" customFormat="1" ht="12.75" customHeight="1" x14ac:dyDescent="0.25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4"/>
      <c r="S51" s="3"/>
      <c r="T51" s="57"/>
      <c r="U51" s="57"/>
      <c r="V51" s="57"/>
      <c r="W51" s="57"/>
      <c r="X51" s="57"/>
      <c r="Y51" s="57"/>
      <c r="Z51" s="57"/>
      <c r="AA51" s="57"/>
      <c r="AB51" s="57"/>
      <c r="AC51" s="57"/>
    </row>
    <row r="52" spans="1:29" s="66" customFormat="1" ht="12.75" customHeight="1" x14ac:dyDescent="0.25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4"/>
      <c r="S52" s="3"/>
      <c r="T52" s="57"/>
      <c r="U52" s="57"/>
      <c r="V52" s="57"/>
      <c r="W52" s="57"/>
      <c r="X52" s="57"/>
      <c r="Y52" s="57"/>
      <c r="Z52" s="57"/>
      <c r="AA52" s="57"/>
      <c r="AB52" s="57"/>
      <c r="AC52" s="57"/>
    </row>
    <row r="53" spans="1:29" s="66" customFormat="1" ht="12.75" customHeight="1" x14ac:dyDescent="0.25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4"/>
      <c r="S53" s="3"/>
      <c r="T53" s="57"/>
      <c r="U53" s="57"/>
      <c r="V53" s="57"/>
      <c r="W53" s="57"/>
      <c r="X53" s="57"/>
      <c r="Y53" s="57"/>
      <c r="Z53" s="57"/>
      <c r="AA53" s="57"/>
      <c r="AB53" s="57"/>
      <c r="AC53" s="57"/>
    </row>
    <row r="54" spans="1:29" s="66" customFormat="1" ht="12.75" customHeight="1" x14ac:dyDescent="0.25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4"/>
      <c r="S54" s="3"/>
      <c r="T54" s="57"/>
      <c r="U54" s="57"/>
      <c r="V54" s="57"/>
      <c r="W54" s="57"/>
      <c r="X54" s="57"/>
      <c r="Y54" s="57"/>
      <c r="Z54" s="57"/>
      <c r="AA54" s="57"/>
      <c r="AB54" s="57"/>
      <c r="AC54" s="57"/>
    </row>
    <row r="55" spans="1:29" s="66" customFormat="1" ht="12.75" customHeight="1" x14ac:dyDescent="0.25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4"/>
      <c r="S55" s="3"/>
      <c r="T55" s="57"/>
      <c r="U55" s="57"/>
      <c r="V55" s="57"/>
      <c r="W55" s="57"/>
      <c r="X55" s="57"/>
      <c r="Y55" s="57"/>
      <c r="Z55" s="57"/>
      <c r="AA55" s="57"/>
      <c r="AB55" s="57"/>
      <c r="AC55" s="57"/>
    </row>
    <row r="56" spans="1:29" s="66" customFormat="1" ht="12.75" customHeight="1" x14ac:dyDescent="0.25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4"/>
      <c r="S56" s="3"/>
      <c r="T56" s="57"/>
      <c r="U56" s="57"/>
      <c r="V56" s="57"/>
      <c r="W56" s="57"/>
      <c r="X56" s="57"/>
      <c r="Y56" s="57"/>
      <c r="Z56" s="57"/>
      <c r="AA56" s="57"/>
      <c r="AB56" s="57"/>
      <c r="AC56" s="57"/>
    </row>
    <row r="57" spans="1:29" s="66" customFormat="1" ht="12.75" customHeight="1" x14ac:dyDescent="0.25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4"/>
      <c r="S57" s="3"/>
      <c r="T57" s="57"/>
      <c r="U57" s="57"/>
      <c r="V57" s="57"/>
      <c r="W57" s="57"/>
      <c r="X57" s="57"/>
      <c r="Y57" s="57"/>
      <c r="Z57" s="57"/>
      <c r="AA57" s="57"/>
      <c r="AB57" s="57"/>
      <c r="AC57" s="57"/>
    </row>
    <row r="58" spans="1:29" s="66" customFormat="1" ht="12.75" customHeight="1" x14ac:dyDescent="0.25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4"/>
      <c r="S58" s="3"/>
      <c r="T58" s="57"/>
      <c r="U58" s="57"/>
      <c r="V58" s="57"/>
      <c r="W58" s="57"/>
      <c r="X58" s="57"/>
      <c r="Y58" s="57"/>
      <c r="Z58" s="57"/>
      <c r="AA58" s="57"/>
      <c r="AB58" s="57"/>
      <c r="AC58" s="57"/>
    </row>
    <row r="59" spans="1:29" s="66" customFormat="1" ht="12.75" customHeight="1" x14ac:dyDescent="0.25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4"/>
      <c r="S59" s="3"/>
      <c r="T59" s="57"/>
      <c r="U59" s="57"/>
      <c r="V59" s="57"/>
      <c r="W59" s="57"/>
      <c r="X59" s="57"/>
      <c r="Y59" s="57"/>
      <c r="Z59" s="57"/>
      <c r="AA59" s="57"/>
      <c r="AB59" s="57"/>
      <c r="AC59" s="57"/>
    </row>
    <row r="60" spans="1:29" s="66" customFormat="1" ht="12.75" customHeight="1" x14ac:dyDescent="0.25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4"/>
      <c r="S60" s="3"/>
      <c r="T60" s="57"/>
      <c r="U60" s="57"/>
      <c r="V60" s="57"/>
      <c r="W60" s="57"/>
      <c r="X60" s="57"/>
      <c r="Y60" s="57"/>
      <c r="Z60" s="57"/>
      <c r="AA60" s="57"/>
      <c r="AB60" s="57"/>
      <c r="AC60" s="57"/>
    </row>
    <row r="61" spans="1:29" s="66" customFormat="1" ht="12.75" customHeight="1" x14ac:dyDescent="0.25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4"/>
      <c r="S61" s="3"/>
      <c r="T61" s="57"/>
      <c r="U61" s="57"/>
      <c r="V61" s="57"/>
      <c r="W61" s="57"/>
      <c r="X61" s="57"/>
      <c r="Y61" s="57"/>
      <c r="Z61" s="57"/>
      <c r="AA61" s="57"/>
      <c r="AB61" s="57"/>
      <c r="AC61" s="57"/>
    </row>
    <row r="62" spans="1:29" s="66" customFormat="1" ht="12.75" customHeight="1" x14ac:dyDescent="0.25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4"/>
      <c r="S62" s="3"/>
      <c r="T62" s="57"/>
      <c r="U62" s="57"/>
      <c r="V62" s="57"/>
      <c r="W62" s="57"/>
      <c r="X62" s="57"/>
      <c r="Y62" s="57"/>
      <c r="Z62" s="57"/>
      <c r="AA62" s="57"/>
      <c r="AB62" s="57"/>
      <c r="AC62" s="57"/>
    </row>
    <row r="63" spans="1:29" s="66" customFormat="1" ht="12.75" customHeight="1" x14ac:dyDescent="0.25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4"/>
      <c r="S63" s="3"/>
      <c r="T63" s="57"/>
      <c r="U63" s="57"/>
      <c r="V63" s="57"/>
      <c r="W63" s="57"/>
      <c r="X63" s="57"/>
      <c r="Y63" s="57"/>
      <c r="Z63" s="57"/>
      <c r="AA63" s="57"/>
      <c r="AB63" s="57"/>
      <c r="AC63" s="57"/>
    </row>
    <row r="64" spans="1:29" s="66" customFormat="1" ht="12.75" customHeight="1" x14ac:dyDescent="0.25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4"/>
      <c r="S64" s="3"/>
      <c r="T64" s="57"/>
      <c r="U64" s="57"/>
      <c r="V64" s="57"/>
      <c r="W64" s="57"/>
      <c r="X64" s="57"/>
      <c r="Y64" s="57"/>
      <c r="Z64" s="57"/>
      <c r="AA64" s="57"/>
      <c r="AB64" s="57"/>
      <c r="AC64" s="57"/>
    </row>
    <row r="65" spans="1:29" s="66" customFormat="1" ht="12.75" customHeight="1" x14ac:dyDescent="0.25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4"/>
      <c r="S65" s="3"/>
      <c r="T65" s="57"/>
      <c r="U65" s="57"/>
      <c r="V65" s="57"/>
      <c r="W65" s="57"/>
      <c r="X65" s="57"/>
      <c r="Y65" s="57"/>
      <c r="Z65" s="57"/>
      <c r="AA65" s="57"/>
      <c r="AB65" s="57"/>
      <c r="AC65" s="57"/>
    </row>
    <row r="66" spans="1:29" s="66" customFormat="1" ht="12.75" customHeight="1" x14ac:dyDescent="0.25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4"/>
      <c r="S66" s="3"/>
      <c r="T66" s="57"/>
      <c r="U66" s="57"/>
      <c r="V66" s="57"/>
      <c r="W66" s="57"/>
      <c r="X66" s="57"/>
      <c r="Y66" s="57"/>
      <c r="Z66" s="57"/>
      <c r="AA66" s="57"/>
      <c r="AB66" s="57"/>
      <c r="AC66" s="57"/>
    </row>
    <row r="67" spans="1:29" s="66" customFormat="1" ht="12.75" customHeight="1" x14ac:dyDescent="0.25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4"/>
      <c r="S67" s="3"/>
      <c r="T67" s="57"/>
      <c r="U67" s="57"/>
      <c r="V67" s="57"/>
      <c r="W67" s="57"/>
      <c r="X67" s="57"/>
      <c r="Y67" s="57"/>
      <c r="Z67" s="57"/>
      <c r="AA67" s="57"/>
      <c r="AB67" s="57"/>
      <c r="AC67" s="57"/>
    </row>
    <row r="68" spans="1:29" s="66" customFormat="1" ht="12.75" customHeight="1" x14ac:dyDescent="0.25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4"/>
      <c r="S68" s="3"/>
      <c r="T68" s="57"/>
      <c r="U68" s="57"/>
      <c r="V68" s="57"/>
      <c r="W68" s="57"/>
      <c r="X68" s="57"/>
      <c r="Y68" s="57"/>
      <c r="Z68" s="57"/>
      <c r="AA68" s="57"/>
      <c r="AB68" s="57"/>
      <c r="AC68" s="57"/>
    </row>
    <row r="69" spans="1:29" s="66" customFormat="1" ht="12.75" customHeight="1" x14ac:dyDescent="0.25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4"/>
      <c r="S69" s="3"/>
      <c r="T69" s="57"/>
      <c r="U69" s="57"/>
      <c r="V69" s="57"/>
      <c r="W69" s="57"/>
      <c r="X69" s="57"/>
      <c r="Y69" s="57"/>
      <c r="Z69" s="57"/>
      <c r="AA69" s="57"/>
      <c r="AB69" s="57"/>
      <c r="AC69" s="57"/>
    </row>
    <row r="70" spans="1:29" s="66" customFormat="1" ht="12.75" customHeight="1" x14ac:dyDescent="0.25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4"/>
      <c r="S70" s="3"/>
      <c r="T70" s="57"/>
      <c r="U70" s="57"/>
      <c r="V70" s="57"/>
      <c r="W70" s="57"/>
      <c r="X70" s="57"/>
      <c r="Y70" s="57"/>
      <c r="Z70" s="57"/>
      <c r="AA70" s="57"/>
      <c r="AB70" s="57"/>
      <c r="AC70" s="57"/>
    </row>
    <row r="71" spans="1:29" s="66" customFormat="1" ht="12.75" customHeight="1" x14ac:dyDescent="0.25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4"/>
      <c r="S71" s="3"/>
      <c r="T71" s="57"/>
      <c r="U71" s="57"/>
      <c r="V71" s="57"/>
      <c r="W71" s="57"/>
      <c r="X71" s="57"/>
      <c r="Y71" s="57"/>
      <c r="Z71" s="57"/>
      <c r="AA71" s="57"/>
      <c r="AB71" s="57"/>
      <c r="AC71" s="57"/>
    </row>
    <row r="72" spans="1:29" s="66" customFormat="1" ht="12.75" customHeight="1" x14ac:dyDescent="0.25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4"/>
      <c r="S72" s="3"/>
      <c r="T72" s="57"/>
      <c r="U72" s="57"/>
      <c r="V72" s="57"/>
      <c r="W72" s="57"/>
      <c r="X72" s="57"/>
      <c r="Y72" s="57"/>
      <c r="Z72" s="57"/>
      <c r="AA72" s="57"/>
      <c r="AB72" s="57"/>
      <c r="AC72" s="57"/>
    </row>
    <row r="73" spans="1:29" s="66" customFormat="1" ht="12.75" customHeight="1" x14ac:dyDescent="0.25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4"/>
      <c r="S73" s="3"/>
      <c r="T73" s="57"/>
      <c r="U73" s="57"/>
      <c r="V73" s="57"/>
      <c r="W73" s="57"/>
      <c r="X73" s="57"/>
      <c r="Y73" s="57"/>
      <c r="Z73" s="57"/>
      <c r="AA73" s="57"/>
      <c r="AB73" s="57"/>
      <c r="AC73" s="57"/>
    </row>
    <row r="74" spans="1:29" s="66" customFormat="1" ht="12.75" customHeight="1" x14ac:dyDescent="0.25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4"/>
      <c r="S74" s="3"/>
      <c r="T74" s="57"/>
      <c r="U74" s="57"/>
      <c r="V74" s="57"/>
      <c r="W74" s="57"/>
      <c r="X74" s="57"/>
      <c r="Y74" s="57"/>
      <c r="Z74" s="57"/>
      <c r="AA74" s="57"/>
      <c r="AB74" s="57"/>
      <c r="AC74" s="57"/>
    </row>
    <row r="75" spans="1:29" s="66" customFormat="1" ht="12.75" customHeight="1" x14ac:dyDescent="0.25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4"/>
      <c r="S75" s="3"/>
      <c r="T75" s="57"/>
      <c r="U75" s="57"/>
      <c r="V75" s="57"/>
      <c r="W75" s="57"/>
      <c r="X75" s="57"/>
      <c r="Y75" s="57"/>
      <c r="Z75" s="57"/>
      <c r="AA75" s="57"/>
      <c r="AB75" s="57"/>
      <c r="AC75" s="57"/>
    </row>
    <row r="76" spans="1:29" s="66" customFormat="1" ht="12.75" customHeight="1" x14ac:dyDescent="0.25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4"/>
      <c r="S76" s="3"/>
      <c r="T76" s="57"/>
      <c r="U76" s="57"/>
      <c r="V76" s="57"/>
      <c r="W76" s="57"/>
      <c r="X76" s="57"/>
      <c r="Y76" s="57"/>
      <c r="Z76" s="57"/>
      <c r="AA76" s="57"/>
      <c r="AB76" s="57"/>
      <c r="AC76" s="57"/>
    </row>
    <row r="77" spans="1:29" s="66" customFormat="1" ht="12.75" customHeight="1" x14ac:dyDescent="0.25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4"/>
      <c r="S77" s="3"/>
      <c r="T77" s="57"/>
      <c r="U77" s="57"/>
      <c r="V77" s="57"/>
      <c r="W77" s="57"/>
      <c r="X77" s="57"/>
      <c r="Y77" s="57"/>
      <c r="Z77" s="57"/>
      <c r="AA77" s="57"/>
      <c r="AB77" s="57"/>
      <c r="AC77" s="57"/>
    </row>
    <row r="78" spans="1:29" s="66" customFormat="1" ht="12.75" customHeight="1" x14ac:dyDescent="0.25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4"/>
      <c r="S78" s="3"/>
      <c r="T78" s="57"/>
      <c r="U78" s="57"/>
      <c r="V78" s="57"/>
      <c r="W78" s="57"/>
      <c r="X78" s="57"/>
      <c r="Y78" s="57"/>
      <c r="Z78" s="57"/>
      <c r="AA78" s="57"/>
      <c r="AB78" s="57"/>
      <c r="AC78" s="57"/>
    </row>
    <row r="79" spans="1:29" s="66" customFormat="1" ht="12.75" customHeight="1" x14ac:dyDescent="0.25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4"/>
      <c r="S79" s="3"/>
      <c r="T79" s="57"/>
      <c r="U79" s="57"/>
      <c r="V79" s="57"/>
      <c r="W79" s="57"/>
      <c r="X79" s="57"/>
      <c r="Y79" s="57"/>
      <c r="Z79" s="57"/>
      <c r="AA79" s="57"/>
      <c r="AB79" s="57"/>
      <c r="AC79" s="57"/>
    </row>
    <row r="80" spans="1:29" s="66" customFormat="1" ht="12.75" customHeight="1" x14ac:dyDescent="0.25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4"/>
      <c r="S80" s="3"/>
      <c r="T80" s="57"/>
      <c r="U80" s="57"/>
      <c r="V80" s="57"/>
      <c r="W80" s="57"/>
      <c r="X80" s="57"/>
      <c r="Y80" s="57"/>
      <c r="Z80" s="57"/>
      <c r="AA80" s="57"/>
      <c r="AB80" s="57"/>
      <c r="AC80" s="57"/>
    </row>
    <row r="81" spans="1:29" s="66" customFormat="1" ht="12.75" customHeight="1" x14ac:dyDescent="0.25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4"/>
      <c r="S81" s="3"/>
      <c r="T81" s="57"/>
      <c r="U81" s="57"/>
      <c r="V81" s="57"/>
      <c r="W81" s="57"/>
      <c r="X81" s="57"/>
      <c r="Y81" s="57"/>
      <c r="Z81" s="57"/>
      <c r="AA81" s="57"/>
      <c r="AB81" s="57"/>
      <c r="AC81" s="57"/>
    </row>
    <row r="82" spans="1:29" s="66" customFormat="1" ht="12.75" customHeight="1" x14ac:dyDescent="0.25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4"/>
      <c r="S82" s="3"/>
      <c r="T82" s="57"/>
      <c r="U82" s="57"/>
      <c r="V82" s="57"/>
      <c r="W82" s="57"/>
      <c r="X82" s="57"/>
      <c r="Y82" s="57"/>
      <c r="Z82" s="57"/>
      <c r="AA82" s="57"/>
      <c r="AB82" s="57"/>
      <c r="AC82" s="57"/>
    </row>
    <row r="83" spans="1:29" s="66" customFormat="1" ht="12.75" customHeight="1" x14ac:dyDescent="0.25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4"/>
      <c r="S83" s="3"/>
      <c r="T83" s="57"/>
      <c r="U83" s="57"/>
      <c r="V83" s="57"/>
      <c r="W83" s="57"/>
      <c r="X83" s="57"/>
      <c r="Y83" s="57"/>
      <c r="Z83" s="57"/>
      <c r="AA83" s="57"/>
      <c r="AB83" s="57"/>
      <c r="AC83" s="57"/>
    </row>
    <row r="84" spans="1:29" s="66" customFormat="1" ht="12.75" customHeight="1" x14ac:dyDescent="0.25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4"/>
      <c r="S84" s="3"/>
      <c r="T84" s="57"/>
      <c r="U84" s="57"/>
      <c r="V84" s="57"/>
      <c r="W84" s="57"/>
      <c r="X84" s="57"/>
      <c r="Y84" s="57"/>
      <c r="Z84" s="57"/>
      <c r="AA84" s="57"/>
      <c r="AB84" s="57"/>
      <c r="AC84" s="57"/>
    </row>
    <row r="85" spans="1:29" s="66" customFormat="1" ht="12.75" customHeight="1" x14ac:dyDescent="0.25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4"/>
      <c r="S85" s="3"/>
      <c r="T85" s="57"/>
      <c r="U85" s="57"/>
      <c r="V85" s="57"/>
      <c r="W85" s="57"/>
      <c r="X85" s="57"/>
      <c r="Y85" s="57"/>
      <c r="Z85" s="57"/>
      <c r="AA85" s="57"/>
      <c r="AB85" s="57"/>
      <c r="AC85" s="57"/>
    </row>
    <row r="86" spans="1:29" s="66" customFormat="1" ht="12.75" customHeight="1" x14ac:dyDescent="0.25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4"/>
      <c r="S86" s="3"/>
      <c r="T86" s="57"/>
      <c r="U86" s="57"/>
      <c r="V86" s="57"/>
      <c r="W86" s="57"/>
      <c r="X86" s="57"/>
      <c r="Y86" s="57"/>
      <c r="Z86" s="57"/>
      <c r="AA86" s="57"/>
      <c r="AB86" s="57"/>
      <c r="AC86" s="57"/>
    </row>
    <row r="87" spans="1:29" s="66" customFormat="1" ht="12.75" customHeight="1" x14ac:dyDescent="0.25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4"/>
      <c r="S87" s="3"/>
      <c r="T87" s="57"/>
      <c r="U87" s="57"/>
      <c r="V87" s="57"/>
      <c r="W87" s="57"/>
      <c r="X87" s="57"/>
      <c r="Y87" s="57"/>
      <c r="Z87" s="57"/>
      <c r="AA87" s="57"/>
      <c r="AB87" s="57"/>
      <c r="AC87" s="57"/>
    </row>
    <row r="88" spans="1:29" s="66" customFormat="1" ht="12.75" customHeight="1" x14ac:dyDescent="0.25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4"/>
      <c r="S88" s="3"/>
      <c r="T88" s="57"/>
      <c r="U88" s="57"/>
      <c r="V88" s="57"/>
      <c r="W88" s="57"/>
      <c r="X88" s="57"/>
      <c r="Y88" s="57"/>
      <c r="Z88" s="57"/>
      <c r="AA88" s="57"/>
      <c r="AB88" s="57"/>
      <c r="AC88" s="57"/>
    </row>
    <row r="89" spans="1:29" s="66" customFormat="1" ht="12.75" customHeight="1" x14ac:dyDescent="0.25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4"/>
      <c r="S89" s="3"/>
      <c r="T89" s="57"/>
      <c r="U89" s="57"/>
      <c r="V89" s="57"/>
      <c r="W89" s="57"/>
      <c r="X89" s="57"/>
      <c r="Y89" s="57"/>
      <c r="Z89" s="57"/>
      <c r="AA89" s="57"/>
      <c r="AB89" s="57"/>
      <c r="AC89" s="57"/>
    </row>
    <row r="90" spans="1:29" s="66" customFormat="1" ht="12.75" customHeight="1" x14ac:dyDescent="0.25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4"/>
      <c r="S90" s="3"/>
      <c r="T90" s="57"/>
      <c r="U90" s="57"/>
      <c r="V90" s="57"/>
      <c r="W90" s="57"/>
      <c r="X90" s="57"/>
      <c r="Y90" s="57"/>
      <c r="Z90" s="57"/>
      <c r="AA90" s="57"/>
      <c r="AB90" s="57"/>
      <c r="AC90" s="57"/>
    </row>
    <row r="91" spans="1:29" s="66" customFormat="1" ht="12.75" customHeight="1" x14ac:dyDescent="0.25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4"/>
      <c r="S91" s="3"/>
      <c r="T91" s="57"/>
      <c r="U91" s="57"/>
      <c r="V91" s="57"/>
      <c r="W91" s="57"/>
      <c r="X91" s="57"/>
      <c r="Y91" s="57"/>
      <c r="Z91" s="57"/>
      <c r="AA91" s="57"/>
      <c r="AB91" s="57"/>
      <c r="AC91" s="57"/>
    </row>
    <row r="92" spans="1:29" s="66" customFormat="1" ht="12.75" customHeight="1" x14ac:dyDescent="0.25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4"/>
      <c r="S92" s="3"/>
      <c r="T92" s="57"/>
      <c r="U92" s="57"/>
      <c r="V92" s="57"/>
      <c r="W92" s="57"/>
      <c r="X92" s="57"/>
      <c r="Y92" s="57"/>
      <c r="Z92" s="57"/>
      <c r="AA92" s="57"/>
      <c r="AB92" s="57"/>
      <c r="AC92" s="57"/>
    </row>
    <row r="93" spans="1:29" s="66" customFormat="1" ht="12.75" customHeight="1" x14ac:dyDescent="0.25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4"/>
      <c r="S93" s="3"/>
      <c r="T93" s="57"/>
      <c r="U93" s="57"/>
      <c r="V93" s="57"/>
      <c r="W93" s="57"/>
      <c r="X93" s="57"/>
      <c r="Y93" s="57"/>
      <c r="Z93" s="57"/>
      <c r="AA93" s="57"/>
      <c r="AB93" s="57"/>
      <c r="AC93" s="57"/>
    </row>
    <row r="94" spans="1:29" s="66" customFormat="1" ht="12.75" customHeight="1" x14ac:dyDescent="0.25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4"/>
      <c r="S94" s="3"/>
      <c r="T94" s="57"/>
      <c r="U94" s="57"/>
      <c r="V94" s="57"/>
      <c r="W94" s="57"/>
      <c r="X94" s="57"/>
      <c r="Y94" s="57"/>
      <c r="Z94" s="57"/>
      <c r="AA94" s="57"/>
      <c r="AB94" s="57"/>
      <c r="AC94" s="57"/>
    </row>
    <row r="95" spans="1:29" s="66" customFormat="1" ht="12.75" customHeight="1" x14ac:dyDescent="0.25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4"/>
      <c r="S95" s="3"/>
      <c r="T95" s="57"/>
      <c r="U95" s="57"/>
      <c r="V95" s="57"/>
      <c r="W95" s="57"/>
      <c r="X95" s="57"/>
      <c r="Y95" s="57"/>
      <c r="Z95" s="57"/>
      <c r="AA95" s="57"/>
      <c r="AB95" s="57"/>
      <c r="AC95" s="57"/>
    </row>
    <row r="96" spans="1:29" s="66" customFormat="1" ht="12.75" customHeight="1" x14ac:dyDescent="0.25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4"/>
      <c r="S96" s="3"/>
      <c r="T96" s="57"/>
      <c r="U96" s="57"/>
      <c r="V96" s="57"/>
      <c r="W96" s="57"/>
      <c r="X96" s="57"/>
      <c r="Y96" s="57"/>
      <c r="Z96" s="57"/>
      <c r="AA96" s="57"/>
      <c r="AB96" s="57"/>
      <c r="AC96" s="57"/>
    </row>
    <row r="97" spans="1:29" s="66" customFormat="1" ht="12.75" customHeight="1" x14ac:dyDescent="0.25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4"/>
      <c r="S97" s="3"/>
      <c r="T97" s="57"/>
      <c r="U97" s="57"/>
      <c r="V97" s="57"/>
      <c r="W97" s="57"/>
      <c r="X97" s="57"/>
      <c r="Y97" s="57"/>
      <c r="Z97" s="57"/>
      <c r="AA97" s="57"/>
      <c r="AB97" s="57"/>
      <c r="AC97" s="57"/>
    </row>
    <row r="98" spans="1:29" s="66" customFormat="1" ht="12.75" customHeight="1" x14ac:dyDescent="0.25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4"/>
      <c r="S98" s="3"/>
      <c r="T98" s="57"/>
      <c r="U98" s="57"/>
      <c r="V98" s="57"/>
      <c r="W98" s="57"/>
      <c r="X98" s="57"/>
      <c r="Y98" s="57"/>
      <c r="Z98" s="57"/>
      <c r="AA98" s="57"/>
      <c r="AB98" s="57"/>
      <c r="AC98" s="57"/>
    </row>
    <row r="99" spans="1:29" s="66" customFormat="1" ht="12.75" customHeight="1" x14ac:dyDescent="0.25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4"/>
      <c r="S99" s="3"/>
      <c r="T99" s="57"/>
      <c r="U99" s="57"/>
      <c r="V99" s="57"/>
      <c r="W99" s="57"/>
      <c r="X99" s="57"/>
      <c r="Y99" s="57"/>
      <c r="Z99" s="57"/>
      <c r="AA99" s="57"/>
      <c r="AB99" s="57"/>
      <c r="AC99" s="57"/>
    </row>
    <row r="100" spans="1:29" s="66" customFormat="1" ht="12.75" customHeight="1" x14ac:dyDescent="0.25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4"/>
      <c r="S100" s="3"/>
      <c r="T100" s="57"/>
      <c r="U100" s="57"/>
      <c r="V100" s="57"/>
      <c r="W100" s="57"/>
      <c r="X100" s="57"/>
      <c r="Y100" s="57"/>
      <c r="Z100" s="57"/>
      <c r="AA100" s="57"/>
      <c r="AB100" s="57"/>
      <c r="AC100" s="57"/>
    </row>
    <row r="101" spans="1:29" s="66" customFormat="1" ht="12.75" customHeight="1" x14ac:dyDescent="0.25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4"/>
      <c r="S101" s="3"/>
      <c r="T101" s="57"/>
      <c r="U101" s="57"/>
      <c r="V101" s="57"/>
      <c r="W101" s="57"/>
      <c r="X101" s="57"/>
      <c r="Y101" s="57"/>
      <c r="Z101" s="57"/>
      <c r="AA101" s="57"/>
      <c r="AB101" s="57"/>
      <c r="AC101" s="57"/>
    </row>
    <row r="102" spans="1:29" s="66" customFormat="1" ht="12.75" customHeight="1" x14ac:dyDescent="0.25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4"/>
      <c r="S102" s="3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</row>
    <row r="103" spans="1:29" s="66" customFormat="1" ht="12.75" customHeight="1" x14ac:dyDescent="0.25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4"/>
      <c r="S103" s="3"/>
      <c r="T103" s="57"/>
      <c r="U103" s="57"/>
      <c r="V103" s="57"/>
      <c r="W103" s="57"/>
      <c r="X103" s="57"/>
      <c r="Y103" s="57"/>
      <c r="Z103" s="57"/>
      <c r="AA103" s="57"/>
      <c r="AB103" s="57"/>
      <c r="AC103" s="57"/>
    </row>
    <row r="104" spans="1:29" s="66" customFormat="1" ht="12.75" customHeight="1" x14ac:dyDescent="0.25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4"/>
      <c r="S104" s="3"/>
      <c r="T104" s="57"/>
      <c r="U104" s="57"/>
      <c r="V104" s="57"/>
      <c r="W104" s="57"/>
      <c r="X104" s="57"/>
      <c r="Y104" s="57"/>
      <c r="Z104" s="57"/>
      <c r="AA104" s="57"/>
      <c r="AB104" s="57"/>
      <c r="AC104" s="57"/>
    </row>
    <row r="105" spans="1:29" s="66" customFormat="1" ht="12.75" customHeight="1" x14ac:dyDescent="0.25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4"/>
      <c r="S105" s="3"/>
      <c r="T105" s="57"/>
      <c r="U105" s="57"/>
      <c r="V105" s="57"/>
      <c r="W105" s="57"/>
      <c r="X105" s="57"/>
      <c r="Y105" s="57"/>
      <c r="Z105" s="57"/>
      <c r="AA105" s="57"/>
      <c r="AB105" s="57"/>
      <c r="AC105" s="57"/>
    </row>
    <row r="106" spans="1:29" s="66" customFormat="1" ht="12.75" customHeight="1" x14ac:dyDescent="0.25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4"/>
      <c r="S106" s="3"/>
      <c r="T106" s="57"/>
      <c r="U106" s="57"/>
      <c r="V106" s="57"/>
      <c r="W106" s="57"/>
      <c r="X106" s="57"/>
      <c r="Y106" s="57"/>
      <c r="Z106" s="57"/>
      <c r="AA106" s="57"/>
      <c r="AB106" s="57"/>
      <c r="AC106" s="57"/>
    </row>
    <row r="107" spans="1:29" s="66" customFormat="1" ht="12.75" customHeight="1" x14ac:dyDescent="0.25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4"/>
      <c r="S107" s="3"/>
      <c r="T107" s="57"/>
      <c r="U107" s="57"/>
      <c r="V107" s="57"/>
      <c r="W107" s="57"/>
      <c r="X107" s="57"/>
      <c r="Y107" s="57"/>
      <c r="Z107" s="57"/>
      <c r="AA107" s="57"/>
      <c r="AB107" s="57"/>
      <c r="AC107" s="57"/>
    </row>
    <row r="108" spans="1:29" s="66" customFormat="1" ht="12.75" customHeight="1" x14ac:dyDescent="0.25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4"/>
      <c r="S108" s="3"/>
      <c r="T108" s="57"/>
      <c r="U108" s="57"/>
      <c r="V108" s="57"/>
      <c r="W108" s="57"/>
      <c r="X108" s="57"/>
      <c r="Y108" s="57"/>
      <c r="Z108" s="57"/>
      <c r="AA108" s="57"/>
      <c r="AB108" s="57"/>
      <c r="AC108" s="57"/>
    </row>
    <row r="109" spans="1:29" s="66" customFormat="1" ht="12.75" customHeight="1" x14ac:dyDescent="0.25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4"/>
      <c r="S109" s="3"/>
      <c r="T109" s="57"/>
      <c r="U109" s="57"/>
      <c r="V109" s="57"/>
      <c r="W109" s="57"/>
      <c r="X109" s="57"/>
      <c r="Y109" s="57"/>
      <c r="Z109" s="57"/>
      <c r="AA109" s="57"/>
      <c r="AB109" s="57"/>
      <c r="AC109" s="57"/>
    </row>
    <row r="110" spans="1:29" s="66" customFormat="1" ht="12.75" customHeight="1" x14ac:dyDescent="0.25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4"/>
      <c r="S110" s="3"/>
      <c r="T110" s="57"/>
      <c r="U110" s="57"/>
      <c r="V110" s="57"/>
      <c r="W110" s="57"/>
      <c r="X110" s="57"/>
      <c r="Y110" s="57"/>
      <c r="Z110" s="57"/>
      <c r="AA110" s="57"/>
      <c r="AB110" s="57"/>
      <c r="AC110" s="57"/>
    </row>
    <row r="111" spans="1:29" s="66" customFormat="1" ht="12.75" customHeight="1" x14ac:dyDescent="0.25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4"/>
      <c r="S111" s="3"/>
      <c r="T111" s="57"/>
      <c r="U111" s="57"/>
      <c r="V111" s="57"/>
      <c r="W111" s="57"/>
      <c r="X111" s="57"/>
      <c r="Y111" s="57"/>
      <c r="Z111" s="57"/>
      <c r="AA111" s="57"/>
      <c r="AB111" s="57"/>
      <c r="AC111" s="57"/>
    </row>
    <row r="112" spans="1:29" s="66" customFormat="1" ht="12.75" customHeight="1" x14ac:dyDescent="0.25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4"/>
      <c r="S112" s="3"/>
      <c r="T112" s="57"/>
      <c r="U112" s="57"/>
      <c r="V112" s="57"/>
      <c r="W112" s="57"/>
      <c r="X112" s="57"/>
      <c r="Y112" s="57"/>
      <c r="Z112" s="57"/>
      <c r="AA112" s="57"/>
      <c r="AB112" s="57"/>
      <c r="AC112" s="57"/>
    </row>
    <row r="113" spans="1:29" s="66" customFormat="1" ht="12.75" customHeight="1" x14ac:dyDescent="0.25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4"/>
      <c r="S113" s="3"/>
      <c r="T113" s="57"/>
      <c r="U113" s="57"/>
      <c r="V113" s="57"/>
      <c r="W113" s="57"/>
      <c r="X113" s="57"/>
      <c r="Y113" s="57"/>
      <c r="Z113" s="57"/>
      <c r="AA113" s="57"/>
      <c r="AB113" s="57"/>
      <c r="AC113" s="57"/>
    </row>
  </sheetData>
  <mergeCells count="1">
    <mergeCell ref="B1:J1"/>
  </mergeCells>
  <printOptions horizontalCentered="1" verticalCentered="1"/>
  <pageMargins left="0" right="0" top="0.19685039370078702" bottom="0.19685039370078755" header="0.19685039370078702" footer="0.15748031496063003"/>
  <pageSetup paperSize="0" scale="75" fitToWidth="0" fitToHeight="0" pageOrder="overThenDown" orientation="landscape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D3C1C-51D3-4159-BDD4-E0F881B6517E}">
  <dimension ref="A1:AD26"/>
  <sheetViews>
    <sheetView workbookViewId="0">
      <selection activeCell="P13" sqref="P13"/>
    </sheetView>
  </sheetViews>
  <sheetFormatPr baseColWidth="10" defaultColWidth="10" defaultRowHeight="12.75" customHeight="1" x14ac:dyDescent="0.25"/>
  <cols>
    <col min="1" max="1" width="14.83203125" style="1" customWidth="1"/>
    <col min="2" max="2" width="8.58203125" style="3" customWidth="1"/>
    <col min="3" max="3" width="10.83203125" style="3" customWidth="1"/>
    <col min="4" max="4" width="8.5" style="3" customWidth="1"/>
    <col min="5" max="5" width="9.08203125" style="3" customWidth="1"/>
    <col min="6" max="6" width="8.25" style="3" customWidth="1"/>
    <col min="7" max="7" width="8.33203125" style="3" customWidth="1"/>
    <col min="8" max="8" width="9.58203125" style="3" customWidth="1"/>
    <col min="9" max="9" width="6.75" style="3" customWidth="1"/>
    <col min="10" max="10" width="8.25" style="3" customWidth="1"/>
    <col min="11" max="11" width="8.33203125" style="3" customWidth="1"/>
    <col min="12" max="12" width="11.5" style="3" customWidth="1"/>
    <col min="13" max="13" width="7.08203125" style="66" customWidth="1"/>
    <col min="14" max="14" width="16.58203125" style="4" customWidth="1"/>
    <col min="15" max="15" width="7.25" style="66" customWidth="1"/>
    <col min="16" max="16" width="10" style="57" customWidth="1"/>
    <col min="17" max="16384" width="10" style="57"/>
  </cols>
  <sheetData>
    <row r="1" spans="1:30" ht="20.149999999999999" customHeight="1" x14ac:dyDescent="0.25">
      <c r="B1" s="100" t="s">
        <v>77</v>
      </c>
      <c r="C1" s="100"/>
      <c r="D1" s="100"/>
      <c r="E1" s="100"/>
      <c r="F1" s="100"/>
      <c r="G1" s="100"/>
      <c r="H1" s="100"/>
      <c r="I1" s="100"/>
      <c r="J1" s="100"/>
      <c r="K1" s="2"/>
      <c r="M1" s="3"/>
      <c r="N1" s="3"/>
      <c r="O1" s="3"/>
      <c r="P1" s="4"/>
      <c r="Q1" s="3"/>
      <c r="Y1" s="65"/>
      <c r="Z1" s="66"/>
      <c r="AA1" s="66"/>
      <c r="AB1" s="66"/>
      <c r="AC1" s="66"/>
      <c r="AD1" s="66"/>
    </row>
    <row r="2" spans="1:30" ht="11.15" customHeight="1" x14ac:dyDescent="0.25">
      <c r="M2" s="57"/>
      <c r="O2" s="57"/>
    </row>
    <row r="3" spans="1:30" ht="12.75" customHeight="1" x14ac:dyDescent="0.25">
      <c r="A3" s="5"/>
      <c r="B3" s="101" t="s">
        <v>21</v>
      </c>
      <c r="C3" s="102" t="s">
        <v>64</v>
      </c>
      <c r="D3" s="102" t="s">
        <v>65</v>
      </c>
      <c r="E3" s="101" t="s">
        <v>24</v>
      </c>
      <c r="F3" s="101" t="s">
        <v>66</v>
      </c>
      <c r="G3" s="102" t="s">
        <v>67</v>
      </c>
      <c r="H3" s="101" t="s">
        <v>68</v>
      </c>
      <c r="I3" s="101" t="s">
        <v>28</v>
      </c>
      <c r="J3" s="101" t="s">
        <v>69</v>
      </c>
      <c r="K3" s="102" t="s">
        <v>70</v>
      </c>
      <c r="L3" s="99" t="s">
        <v>71</v>
      </c>
      <c r="M3" s="69"/>
      <c r="N3" s="103" t="s">
        <v>72</v>
      </c>
      <c r="O3" s="57"/>
    </row>
    <row r="4" spans="1:30" ht="13.5" customHeight="1" x14ac:dyDescent="0.25">
      <c r="A4" s="8"/>
      <c r="B4" s="101"/>
      <c r="C4" s="102"/>
      <c r="D4" s="102"/>
      <c r="E4" s="101"/>
      <c r="F4" s="101"/>
      <c r="G4" s="102"/>
      <c r="H4" s="101"/>
      <c r="I4" s="101"/>
      <c r="J4" s="101"/>
      <c r="K4" s="102"/>
      <c r="L4" s="99"/>
      <c r="M4" s="69"/>
      <c r="N4" s="103"/>
      <c r="O4" s="57"/>
    </row>
    <row r="5" spans="1:30" ht="13.5" customHeight="1" x14ac:dyDescent="0.25">
      <c r="A5" s="11"/>
      <c r="B5" s="101"/>
      <c r="C5" s="102"/>
      <c r="D5" s="102"/>
      <c r="E5" s="101"/>
      <c r="F5" s="101"/>
      <c r="G5" s="102"/>
      <c r="H5" s="101"/>
      <c r="I5" s="101"/>
      <c r="J5" s="101"/>
      <c r="K5" s="102"/>
      <c r="L5" s="99"/>
      <c r="M5" s="69"/>
      <c r="N5" s="103"/>
      <c r="O5" s="57"/>
    </row>
    <row r="6" spans="1:30" ht="13.5" customHeight="1" x14ac:dyDescent="0.25">
      <c r="A6" s="28" t="s">
        <v>1</v>
      </c>
      <c r="B6" s="29">
        <f>B20/(MAE_2025!R20+Hors_MAE_2025!L20)</f>
        <v>0.13046565892259307</v>
      </c>
      <c r="C6" s="29">
        <f>C20/(MAE_2025!R20+Hors_MAE_2025!L20)</f>
        <v>2.0290149132596124E-4</v>
      </c>
      <c r="D6" s="29">
        <f>D20/(MAE_2025!R20+Hors_MAE_2025!L20)</f>
        <v>2.0290149132596125E-5</v>
      </c>
      <c r="E6" s="29">
        <f>E20/(MAE_2025!R20+Hors_MAE_2025!L20)</f>
        <v>0</v>
      </c>
      <c r="F6" s="29">
        <f>F20/(MAE_2025!R20+Hors_MAE_2025!L20)</f>
        <v>1.3188596936187481E-3</v>
      </c>
      <c r="G6" s="29">
        <f>G20/(MAE_2025!R20+Hors_MAE_2025!L20)</f>
        <v>4.8696357918230697E-4</v>
      </c>
      <c r="H6" s="29">
        <f>H20/(MAE_2025!R20+Hors_MAE_2025!L20)</f>
        <v>1.1565385005579791E-3</v>
      </c>
      <c r="I6" s="29">
        <f>I20/(MAE_2025!R20+Hors_MAE_2025!L20)</f>
        <v>1.0550877548949984E-3</v>
      </c>
      <c r="J6" s="29">
        <f>J20/(MAE_2025!R20+Hors_MAE_2025!L20)</f>
        <v>9.5282540326671397E-2</v>
      </c>
      <c r="K6" s="29">
        <f>K20/(MAE_2025!R20+Hors_MAE_2025!L20)</f>
        <v>7.6554732677285173E-2</v>
      </c>
      <c r="L6" s="30">
        <f>L20/(MAE_2025!R20+Hors_MAE_2025!L20)</f>
        <v>0.30654357309526226</v>
      </c>
      <c r="M6" s="69"/>
      <c r="N6" s="31"/>
      <c r="O6" s="57"/>
    </row>
    <row r="7" spans="1:30" ht="17.25" customHeight="1" x14ac:dyDescent="0.25">
      <c r="A7" s="5" t="s">
        <v>50</v>
      </c>
      <c r="B7" s="32">
        <f>26+926+120+148+82+82+2</f>
        <v>1386</v>
      </c>
      <c r="C7" s="32">
        <v>4</v>
      </c>
      <c r="D7" s="32"/>
      <c r="E7" s="32"/>
      <c r="F7" s="32">
        <v>17</v>
      </c>
      <c r="G7" s="32">
        <v>9</v>
      </c>
      <c r="H7" s="32">
        <f>4+13</f>
        <v>17</v>
      </c>
      <c r="I7" s="32">
        <f>1+8</f>
        <v>9</v>
      </c>
      <c r="J7" s="32">
        <f>909+185+8</f>
        <v>1102</v>
      </c>
      <c r="K7" s="32">
        <f>388+407</f>
        <v>795</v>
      </c>
      <c r="L7" s="33">
        <f t="shared" ref="L7:L18" si="0">SUM(B7:K7)</f>
        <v>3339</v>
      </c>
      <c r="M7" s="69"/>
      <c r="N7" s="34">
        <v>4284.68</v>
      </c>
      <c r="O7" s="57"/>
    </row>
    <row r="8" spans="1:30" ht="12.75" customHeight="1" x14ac:dyDescent="0.25">
      <c r="A8" s="15" t="s">
        <v>51</v>
      </c>
      <c r="B8" s="35">
        <f>20+806+117+116+64+83</f>
        <v>1206</v>
      </c>
      <c r="C8" s="35">
        <v>1</v>
      </c>
      <c r="D8" s="35">
        <v>1</v>
      </c>
      <c r="E8" s="35"/>
      <c r="F8" s="35">
        <v>15</v>
      </c>
      <c r="G8" s="35">
        <v>8</v>
      </c>
      <c r="H8" s="35">
        <f>2+7</f>
        <v>9</v>
      </c>
      <c r="I8" s="35">
        <f>3+7+9</f>
        <v>19</v>
      </c>
      <c r="J8" s="35">
        <f>773+151+5</f>
        <v>929</v>
      </c>
      <c r="K8" s="35">
        <f>389+383</f>
        <v>772</v>
      </c>
      <c r="L8" s="33">
        <f t="shared" si="0"/>
        <v>2960</v>
      </c>
      <c r="M8" s="69"/>
      <c r="N8" s="36">
        <v>3028.96</v>
      </c>
      <c r="O8" s="57"/>
    </row>
    <row r="9" spans="1:30" s="66" customFormat="1" ht="12.75" customHeight="1" x14ac:dyDescent="0.25">
      <c r="A9" s="15" t="s">
        <v>52</v>
      </c>
      <c r="B9" s="35">
        <f>15+825+125+138+69+89</f>
        <v>1261</v>
      </c>
      <c r="C9" s="35"/>
      <c r="D9" s="35"/>
      <c r="E9" s="35"/>
      <c r="F9" s="35">
        <v>8</v>
      </c>
      <c r="G9" s="35">
        <v>6</v>
      </c>
      <c r="H9" s="35">
        <f>2+9</f>
        <v>11</v>
      </c>
      <c r="I9" s="35">
        <v>9</v>
      </c>
      <c r="J9" s="35">
        <f>800+139+10</f>
        <v>949</v>
      </c>
      <c r="K9" s="35">
        <f>375+430</f>
        <v>805</v>
      </c>
      <c r="L9" s="33">
        <f t="shared" si="0"/>
        <v>3049</v>
      </c>
      <c r="M9" s="69"/>
      <c r="N9" s="36">
        <v>4679.17</v>
      </c>
      <c r="O9" s="57"/>
    </row>
    <row r="10" spans="1:30" s="66" customFormat="1" ht="12.75" customHeight="1" x14ac:dyDescent="0.25">
      <c r="A10" s="15" t="s">
        <v>53</v>
      </c>
      <c r="B10" s="35">
        <f>16+916+112+109+51+122+2</f>
        <v>1328</v>
      </c>
      <c r="C10" s="35">
        <v>2</v>
      </c>
      <c r="D10" s="35"/>
      <c r="E10" s="35"/>
      <c r="F10" s="35">
        <v>7</v>
      </c>
      <c r="G10" s="35"/>
      <c r="H10" s="35">
        <f>3+8</f>
        <v>11</v>
      </c>
      <c r="I10" s="35">
        <f>1+4+2</f>
        <v>7</v>
      </c>
      <c r="J10" s="35">
        <f>770+125+6</f>
        <v>901</v>
      </c>
      <c r="K10" s="35">
        <f>392+346</f>
        <v>738</v>
      </c>
      <c r="L10" s="33">
        <f t="shared" si="0"/>
        <v>2994</v>
      </c>
      <c r="M10" s="69"/>
      <c r="N10" s="36">
        <v>2510.48</v>
      </c>
      <c r="O10" s="57"/>
    </row>
    <row r="11" spans="1:30" s="66" customFormat="1" ht="12.75" customHeight="1" x14ac:dyDescent="0.25">
      <c r="A11" s="15" t="s">
        <v>54</v>
      </c>
      <c r="B11" s="35">
        <f>20+873+103+98+68+87</f>
        <v>1249</v>
      </c>
      <c r="C11" s="35">
        <v>3</v>
      </c>
      <c r="D11" s="35"/>
      <c r="E11" s="35"/>
      <c r="F11" s="35">
        <v>18</v>
      </c>
      <c r="G11" s="35">
        <v>1</v>
      </c>
      <c r="H11" s="35">
        <v>9</v>
      </c>
      <c r="I11" s="35">
        <f>2+6</f>
        <v>8</v>
      </c>
      <c r="J11" s="35">
        <f>672+141+2</f>
        <v>815</v>
      </c>
      <c r="K11" s="35">
        <f>331+332</f>
        <v>663</v>
      </c>
      <c r="L11" s="33">
        <f t="shared" si="0"/>
        <v>2766</v>
      </c>
      <c r="M11" s="69"/>
      <c r="N11" s="36">
        <v>785.5</v>
      </c>
      <c r="O11" s="57"/>
    </row>
    <row r="12" spans="1:30" s="66" customFormat="1" ht="12.75" customHeight="1" x14ac:dyDescent="0.25">
      <c r="A12" s="15" t="s">
        <v>55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3">
        <f t="shared" si="0"/>
        <v>0</v>
      </c>
      <c r="M12" s="69"/>
      <c r="N12" s="36"/>
      <c r="O12" s="57"/>
    </row>
    <row r="13" spans="1:30" s="66" customFormat="1" ht="12.75" customHeight="1" x14ac:dyDescent="0.25">
      <c r="A13" s="15" t="s">
        <v>56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3">
        <f t="shared" si="0"/>
        <v>0</v>
      </c>
      <c r="M13" s="69"/>
      <c r="N13" s="36"/>
      <c r="O13" s="57"/>
    </row>
    <row r="14" spans="1:30" s="66" customFormat="1" ht="12.75" customHeight="1" x14ac:dyDescent="0.25">
      <c r="A14" s="15" t="s">
        <v>57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3">
        <f t="shared" si="0"/>
        <v>0</v>
      </c>
      <c r="M14" s="69"/>
      <c r="N14" s="36"/>
      <c r="O14" s="57"/>
    </row>
    <row r="15" spans="1:30" s="66" customFormat="1" ht="12.75" customHeight="1" x14ac:dyDescent="0.25">
      <c r="A15" s="15" t="s">
        <v>58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3">
        <f t="shared" si="0"/>
        <v>0</v>
      </c>
      <c r="M15" s="69"/>
      <c r="N15" s="36"/>
      <c r="O15" s="57"/>
    </row>
    <row r="16" spans="1:30" s="66" customFormat="1" ht="12.75" customHeight="1" x14ac:dyDescent="0.25">
      <c r="A16" s="15" t="s">
        <v>59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3">
        <f t="shared" si="0"/>
        <v>0</v>
      </c>
      <c r="M16" s="69"/>
      <c r="N16" s="36"/>
      <c r="O16" s="57"/>
    </row>
    <row r="17" spans="1:15" s="66" customFormat="1" ht="12.75" customHeight="1" x14ac:dyDescent="0.25">
      <c r="A17" s="15" t="s">
        <v>60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3">
        <f t="shared" si="0"/>
        <v>0</v>
      </c>
      <c r="M17" s="69"/>
      <c r="N17" s="36"/>
      <c r="O17" s="57"/>
    </row>
    <row r="18" spans="1:15" s="66" customFormat="1" ht="12.75" customHeight="1" x14ac:dyDescent="0.25">
      <c r="A18" s="15" t="s">
        <v>61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3">
        <f t="shared" si="0"/>
        <v>0</v>
      </c>
      <c r="M18" s="69"/>
      <c r="N18" s="36"/>
      <c r="O18" s="57"/>
    </row>
    <row r="19" spans="1:15" s="66" customFormat="1" ht="12.75" customHeight="1" x14ac:dyDescent="0.25">
      <c r="A19" s="15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9"/>
      <c r="M19" s="69"/>
      <c r="N19" s="37"/>
      <c r="O19" s="57"/>
    </row>
    <row r="20" spans="1:15" s="66" customFormat="1" ht="12.75" customHeight="1" x14ac:dyDescent="0.25">
      <c r="A20" s="16" t="s">
        <v>3</v>
      </c>
      <c r="B20" s="38">
        <f t="shared" ref="B20:L20" si="1">SUM(B7:B19)</f>
        <v>6430</v>
      </c>
      <c r="C20" s="38">
        <f t="shared" si="1"/>
        <v>10</v>
      </c>
      <c r="D20" s="38">
        <f t="shared" si="1"/>
        <v>1</v>
      </c>
      <c r="E20" s="38">
        <f t="shared" si="1"/>
        <v>0</v>
      </c>
      <c r="F20" s="38">
        <f t="shared" si="1"/>
        <v>65</v>
      </c>
      <c r="G20" s="38">
        <f t="shared" si="1"/>
        <v>24</v>
      </c>
      <c r="H20" s="38">
        <f t="shared" si="1"/>
        <v>57</v>
      </c>
      <c r="I20" s="38">
        <f t="shared" si="1"/>
        <v>52</v>
      </c>
      <c r="J20" s="38">
        <f t="shared" si="1"/>
        <v>4696</v>
      </c>
      <c r="K20" s="38">
        <f t="shared" si="1"/>
        <v>3773</v>
      </c>
      <c r="L20" s="38">
        <f t="shared" si="1"/>
        <v>15108</v>
      </c>
      <c r="M20" s="70"/>
      <c r="N20" s="39">
        <f>SUM(N7:N19)</f>
        <v>15288.79</v>
      </c>
      <c r="O20" s="57"/>
    </row>
    <row r="21" spans="1:15" s="66" customFormat="1" ht="12.75" customHeight="1" x14ac:dyDescent="0.25">
      <c r="A21" s="1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57"/>
      <c r="N21" s="4"/>
      <c r="O21" s="57"/>
    </row>
    <row r="22" spans="1:15" s="66" customFormat="1" ht="12.75" customHeight="1" x14ac:dyDescent="0.25">
      <c r="A22" s="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57"/>
      <c r="N22" s="4"/>
      <c r="O22" s="57"/>
    </row>
    <row r="25" spans="1:15" ht="12.75" customHeight="1" x14ac:dyDescent="0.25">
      <c r="L25" s="40"/>
    </row>
    <row r="26" spans="1:15" ht="12.75" customHeight="1" x14ac:dyDescent="0.25">
      <c r="K26" s="40"/>
      <c r="L26" s="41"/>
    </row>
  </sheetData>
  <mergeCells count="13">
    <mergeCell ref="K3:K5"/>
    <mergeCell ref="L3:L5"/>
    <mergeCell ref="N3:N5"/>
    <mergeCell ref="B1:J1"/>
    <mergeCell ref="B3:B5"/>
    <mergeCell ref="C3:C5"/>
    <mergeCell ref="D3:D5"/>
    <mergeCell ref="E3:E5"/>
    <mergeCell ref="F3:F5"/>
    <mergeCell ref="G3:G5"/>
    <mergeCell ref="H3:H5"/>
    <mergeCell ref="I3:I5"/>
    <mergeCell ref="J3:J5"/>
  </mergeCells>
  <printOptions horizontalCentered="1" verticalCentered="1"/>
  <pageMargins left="0" right="0" top="0.19685039370078702" bottom="0.19685039370078755" header="0.19685039370078702" footer="0.15748031496063003"/>
  <pageSetup paperSize="0" scale="75" fitToWidth="0" fitToHeight="0" pageOrder="overThenDown" orientation="landscape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83535-E9C9-4FA9-B8DC-318F2FF088FB}">
  <dimension ref="A1:AF110"/>
  <sheetViews>
    <sheetView workbookViewId="0">
      <selection activeCell="H22" sqref="H22"/>
    </sheetView>
  </sheetViews>
  <sheetFormatPr baseColWidth="10" defaultColWidth="10" defaultRowHeight="12.75" customHeight="1" x14ac:dyDescent="0.25"/>
  <cols>
    <col min="1" max="1" width="16.33203125" style="1" customWidth="1"/>
    <col min="2" max="2" width="8.58203125" style="3" customWidth="1"/>
    <col min="3" max="3" width="6.75" style="3" customWidth="1"/>
    <col min="4" max="4" width="8.25" style="3" customWidth="1"/>
    <col min="5" max="5" width="6.75" style="3" customWidth="1"/>
    <col min="6" max="6" width="9.58203125" style="3" customWidth="1"/>
    <col min="7" max="7" width="6.75" style="3" customWidth="1"/>
    <col min="8" max="8" width="8.33203125" style="3" customWidth="1"/>
    <col min="9" max="9" width="6.75" style="3" customWidth="1"/>
    <col min="10" max="10" width="9.83203125" style="3" customWidth="1"/>
    <col min="11" max="11" width="6.75" style="3" customWidth="1"/>
    <col min="12" max="12" width="9.25" style="3" customWidth="1"/>
    <col min="13" max="13" width="6.75" style="3" customWidth="1"/>
    <col min="14" max="14" width="7.33203125" style="3" customWidth="1"/>
    <col min="15" max="15" width="6.75" style="3" customWidth="1"/>
    <col min="16" max="16" width="7" style="3" customWidth="1"/>
    <col min="17" max="17" width="6.08203125" style="3" customWidth="1"/>
    <col min="18" max="18" width="11.33203125" style="4" customWidth="1"/>
    <col min="19" max="19" width="6.83203125" style="3" customWidth="1"/>
    <col min="20" max="20" width="9.33203125" style="67" customWidth="1"/>
    <col min="21" max="21" width="8" style="67" customWidth="1"/>
    <col min="22" max="22" width="7.25" style="66" customWidth="1"/>
    <col min="23" max="23" width="8" style="67" customWidth="1"/>
    <col min="24" max="24" width="3.75" style="66" hidden="1" customWidth="1"/>
    <col min="25" max="25" width="10.25" style="66" hidden="1" customWidth="1"/>
    <col min="26" max="26" width="7.75" style="68" customWidth="1"/>
    <col min="27" max="27" width="7.83203125" style="65" customWidth="1"/>
    <col min="28" max="28" width="11" style="66" customWidth="1"/>
    <col min="29" max="29" width="7.33203125" style="66" customWidth="1"/>
    <col min="30" max="30" width="6.58203125" style="66" customWidth="1"/>
    <col min="31" max="31" width="10.58203125" style="66" customWidth="1"/>
    <col min="32" max="32" width="9.5" style="66" customWidth="1"/>
    <col min="33" max="33" width="10" style="57" customWidth="1"/>
    <col min="34" max="16384" width="10" style="57"/>
  </cols>
  <sheetData>
    <row r="1" spans="1:32" ht="20.149999999999999" customHeight="1" x14ac:dyDescent="0.25">
      <c r="B1" s="100" t="s">
        <v>79</v>
      </c>
      <c r="C1" s="100"/>
      <c r="D1" s="100"/>
      <c r="E1" s="100"/>
      <c r="F1" s="100"/>
      <c r="G1" s="100"/>
      <c r="H1" s="100"/>
      <c r="I1" s="100"/>
      <c r="J1" s="100"/>
      <c r="K1" s="2"/>
      <c r="T1" s="57"/>
      <c r="U1" s="57"/>
      <c r="V1" s="57"/>
      <c r="W1" s="57"/>
      <c r="X1" s="57"/>
      <c r="Y1" s="57"/>
      <c r="Z1" s="57"/>
    </row>
    <row r="2" spans="1:32" ht="11.15" customHeight="1" x14ac:dyDescent="0.25">
      <c r="T2" s="57"/>
      <c r="U2" s="57"/>
      <c r="V2" s="57"/>
      <c r="W2" s="57"/>
      <c r="X2" s="57"/>
      <c r="Y2" s="57"/>
      <c r="Z2" s="57"/>
      <c r="AC2" s="57"/>
      <c r="AD2" s="57"/>
      <c r="AE2" s="57"/>
      <c r="AF2" s="57"/>
    </row>
    <row r="3" spans="1:32" ht="12.75" customHeight="1" x14ac:dyDescent="0.25">
      <c r="A3" s="5"/>
      <c r="B3" s="6" t="s">
        <v>35</v>
      </c>
      <c r="C3" s="6" t="s">
        <v>36</v>
      </c>
      <c r="D3" s="6" t="s">
        <v>35</v>
      </c>
      <c r="E3" s="6" t="s">
        <v>36</v>
      </c>
      <c r="F3" s="6" t="s">
        <v>35</v>
      </c>
      <c r="G3" s="6" t="s">
        <v>36</v>
      </c>
      <c r="H3" s="6" t="s">
        <v>35</v>
      </c>
      <c r="I3" s="6" t="s">
        <v>36</v>
      </c>
      <c r="J3" s="6" t="s">
        <v>35</v>
      </c>
      <c r="K3" s="6" t="s">
        <v>36</v>
      </c>
      <c r="L3" s="6" t="s">
        <v>35</v>
      </c>
      <c r="M3" s="6" t="s">
        <v>36</v>
      </c>
      <c r="N3" s="6" t="s">
        <v>35</v>
      </c>
      <c r="O3" s="6" t="s">
        <v>36</v>
      </c>
      <c r="P3" s="6" t="s">
        <v>37</v>
      </c>
      <c r="Q3" s="6" t="s">
        <v>38</v>
      </c>
      <c r="R3" s="7" t="s">
        <v>3</v>
      </c>
      <c r="S3" s="6"/>
      <c r="T3" s="57"/>
      <c r="U3" s="57"/>
      <c r="V3" s="57"/>
      <c r="W3" s="57"/>
      <c r="X3" s="57"/>
      <c r="Y3" s="57"/>
      <c r="Z3" s="57"/>
      <c r="AA3" s="57"/>
      <c r="AC3" s="57"/>
      <c r="AD3" s="57"/>
      <c r="AE3" s="57"/>
      <c r="AF3" s="57"/>
    </row>
    <row r="4" spans="1:32" ht="13.5" customHeight="1" x14ac:dyDescent="0.25">
      <c r="A4" s="8"/>
      <c r="B4" s="9">
        <v>1</v>
      </c>
      <c r="C4" s="10" t="s">
        <v>39</v>
      </c>
      <c r="D4" s="9">
        <v>2</v>
      </c>
      <c r="E4" s="10" t="s">
        <v>39</v>
      </c>
      <c r="F4" s="9">
        <v>3</v>
      </c>
      <c r="G4" s="10" t="s">
        <v>39</v>
      </c>
      <c r="H4" s="9">
        <v>4</v>
      </c>
      <c r="I4" s="10" t="s">
        <v>39</v>
      </c>
      <c r="J4" s="9">
        <v>5</v>
      </c>
      <c r="K4" s="10" t="s">
        <v>39</v>
      </c>
      <c r="L4" s="9">
        <v>6</v>
      </c>
      <c r="M4" s="10" t="s">
        <v>39</v>
      </c>
      <c r="N4" s="9">
        <v>7</v>
      </c>
      <c r="O4" s="10" t="s">
        <v>39</v>
      </c>
      <c r="P4" s="10" t="s">
        <v>36</v>
      </c>
      <c r="Q4" s="9" t="s">
        <v>35</v>
      </c>
      <c r="R4" s="8"/>
      <c r="S4" s="9" t="s">
        <v>40</v>
      </c>
      <c r="T4" s="57"/>
      <c r="U4" s="57"/>
      <c r="V4" s="57"/>
      <c r="W4" s="57"/>
      <c r="X4" s="57"/>
      <c r="Y4" s="57"/>
      <c r="Z4" s="57"/>
      <c r="AA4" s="57"/>
      <c r="AB4" s="65"/>
      <c r="AC4" s="57"/>
      <c r="AD4" s="57"/>
      <c r="AE4" s="57"/>
      <c r="AF4" s="57"/>
    </row>
    <row r="5" spans="1:32" ht="11.25" customHeight="1" x14ac:dyDescent="0.25">
      <c r="A5" s="8"/>
      <c r="B5" s="10" t="s">
        <v>41</v>
      </c>
      <c r="C5" s="9">
        <v>1</v>
      </c>
      <c r="D5" s="10" t="s">
        <v>42</v>
      </c>
      <c r="E5" s="9">
        <v>2</v>
      </c>
      <c r="F5" s="10" t="s">
        <v>43</v>
      </c>
      <c r="G5" s="9">
        <v>3</v>
      </c>
      <c r="H5" s="10" t="s">
        <v>44</v>
      </c>
      <c r="I5" s="9">
        <v>4</v>
      </c>
      <c r="J5" s="10" t="s">
        <v>45</v>
      </c>
      <c r="K5" s="9">
        <v>5</v>
      </c>
      <c r="L5" s="10" t="s">
        <v>46</v>
      </c>
      <c r="M5" s="9">
        <v>6</v>
      </c>
      <c r="N5" s="10" t="s">
        <v>47</v>
      </c>
      <c r="O5" s="9">
        <v>7</v>
      </c>
      <c r="P5" s="10" t="s">
        <v>48</v>
      </c>
      <c r="Q5" s="9"/>
      <c r="R5" s="8"/>
      <c r="S5" s="9" t="s">
        <v>49</v>
      </c>
      <c r="T5" s="57"/>
      <c r="U5" s="57"/>
      <c r="V5" s="57"/>
      <c r="W5" s="57"/>
      <c r="X5" s="57"/>
      <c r="Y5" s="57"/>
      <c r="Z5" s="57"/>
      <c r="AA5" s="57"/>
      <c r="AB5" s="65"/>
      <c r="AC5" s="57"/>
      <c r="AD5" s="57"/>
      <c r="AE5" s="57"/>
      <c r="AF5" s="57"/>
    </row>
    <row r="6" spans="1:32" ht="13.5" customHeight="1" x14ac:dyDescent="0.25">
      <c r="A6" s="42" t="s">
        <v>1</v>
      </c>
      <c r="B6" s="30">
        <f>B20/(R20+Hors_MAE_2024!L20)</f>
        <v>2.5331145040698926E-2</v>
      </c>
      <c r="C6" s="30">
        <f>C20/(MAE_2024!R20+Hors_MAE_2024!L20)</f>
        <v>5.8022910760763248E-5</v>
      </c>
      <c r="D6" s="30">
        <f>D20/(MAE_2024!R20+Hors_MAE_2024!L20)</f>
        <v>0.12312461663433961</v>
      </c>
      <c r="E6" s="30">
        <f>E20/(MAE_2024!R20+Hors_MAE_2024!L20)</f>
        <v>2.0556688383813267E-3</v>
      </c>
      <c r="F6" s="30">
        <f>F20/(MAE_2024!R20+Hors_MAE_2024!L20)</f>
        <v>0.42255599210888412</v>
      </c>
      <c r="G6" s="30">
        <f>G20/(MAE_2024!R20+Hors_MAE_2024!L20)</f>
        <v>2.867989589032012E-3</v>
      </c>
      <c r="H6" s="30">
        <f>H20/(MAE_2024!R20+Hors_MAE_2024!L20)</f>
        <v>3.8908506158717528E-2</v>
      </c>
      <c r="I6" s="30">
        <f>I20/(MAE_2024!R20+Hors_MAE_2024!L20)</f>
        <v>1.7241093483198223E-3</v>
      </c>
      <c r="J6" s="30">
        <f>J20/(MAE_2024!R20+Hors_MAE_2024!L20)</f>
        <v>3.3926824820543426E-2</v>
      </c>
      <c r="K6" s="30">
        <f>K20/(MAE_2024!R20+Hors_MAE_2024!L20)</f>
        <v>5.8022910760763248E-5</v>
      </c>
      <c r="L6" s="30">
        <f>L20/(MAE_2024!R20+Hors_MAE_2024!L20)</f>
        <v>1.6296148936522935E-2</v>
      </c>
      <c r="M6" s="30">
        <f>M20/(MAE_2024!R20+Hors_MAE_2024!L20)</f>
        <v>3.3155949006150428E-5</v>
      </c>
      <c r="N6" s="30">
        <f>N20/(MAE_2024!R20+Hors_MAE_2024!L20)</f>
        <v>1.7987102335836606E-2</v>
      </c>
      <c r="O6" s="30">
        <f>O20/(MAE_2024!R20+Hors_MAE_2024!L20)</f>
        <v>4.9733923509225642E-5</v>
      </c>
      <c r="P6" s="30">
        <f>P20/(MAE_2024!R20+Hors_MAE_2024!L20)</f>
        <v>1.3013709984914044E-3</v>
      </c>
      <c r="Q6" s="30">
        <f>Q20/(MAE_2024!R20+Hors_MAE_2024!L20)</f>
        <v>9.2007758492067444E-4</v>
      </c>
      <c r="R6" s="30">
        <f>R20/(MAE_2024!R20+Hors_MAE_2024!L20)</f>
        <v>0.6871984880887253</v>
      </c>
      <c r="S6" s="12"/>
      <c r="T6" s="57"/>
      <c r="U6" s="57"/>
      <c r="V6" s="57"/>
      <c r="W6" s="57"/>
      <c r="X6" s="57"/>
      <c r="Y6" s="57"/>
      <c r="Z6" s="57"/>
      <c r="AA6" s="57"/>
      <c r="AC6" s="57"/>
      <c r="AD6" s="57"/>
      <c r="AE6" s="57"/>
      <c r="AF6" s="57"/>
    </row>
    <row r="7" spans="1:32" ht="12.75" customHeight="1" x14ac:dyDescent="0.25">
      <c r="A7" s="5" t="s">
        <v>50</v>
      </c>
      <c r="B7" s="6">
        <v>206</v>
      </c>
      <c r="C7" s="6"/>
      <c r="D7" s="6">
        <v>1368</v>
      </c>
      <c r="E7" s="6">
        <v>16</v>
      </c>
      <c r="F7" s="6">
        <v>4664</v>
      </c>
      <c r="G7" s="6">
        <v>14</v>
      </c>
      <c r="H7" s="6">
        <v>429</v>
      </c>
      <c r="I7" s="6">
        <v>24</v>
      </c>
      <c r="J7" s="6">
        <v>435</v>
      </c>
      <c r="K7" s="6">
        <v>3</v>
      </c>
      <c r="L7" s="6">
        <v>188</v>
      </c>
      <c r="M7" s="6"/>
      <c r="N7" s="6">
        <v>215</v>
      </c>
      <c r="O7" s="6"/>
      <c r="P7" s="6">
        <v>21</v>
      </c>
      <c r="Q7" s="6">
        <v>5</v>
      </c>
      <c r="R7" s="43">
        <f t="shared" ref="R7:R18" si="0">SUM(B7:Q7)</f>
        <v>7588</v>
      </c>
      <c r="S7" s="6">
        <v>22</v>
      </c>
      <c r="T7" s="57"/>
      <c r="U7" s="57"/>
      <c r="V7" s="57"/>
      <c r="W7" s="57"/>
      <c r="X7" s="57"/>
      <c r="Y7" s="57"/>
      <c r="Z7" s="57"/>
      <c r="AA7" s="57"/>
      <c r="AC7" s="57"/>
      <c r="AD7" s="57"/>
      <c r="AE7" s="57"/>
      <c r="AF7" s="57"/>
    </row>
    <row r="8" spans="1:32" ht="12.75" customHeight="1" x14ac:dyDescent="0.25">
      <c r="A8" s="15" t="s">
        <v>51</v>
      </c>
      <c r="B8" s="10">
        <v>223</v>
      </c>
      <c r="C8" s="10"/>
      <c r="D8" s="10">
        <v>1435</v>
      </c>
      <c r="E8" s="10">
        <v>17</v>
      </c>
      <c r="F8" s="10">
        <v>4486</v>
      </c>
      <c r="G8" s="10">
        <v>38</v>
      </c>
      <c r="H8" s="10">
        <v>405</v>
      </c>
      <c r="I8" s="10">
        <v>15</v>
      </c>
      <c r="J8" s="10">
        <v>392</v>
      </c>
      <c r="K8" s="10"/>
      <c r="L8" s="10">
        <v>140</v>
      </c>
      <c r="M8" s="10">
        <v>1</v>
      </c>
      <c r="N8" s="10">
        <v>187</v>
      </c>
      <c r="O8" s="10">
        <v>1</v>
      </c>
      <c r="P8" s="10">
        <v>12</v>
      </c>
      <c r="Q8" s="10">
        <v>5</v>
      </c>
      <c r="R8" s="33">
        <f t="shared" si="0"/>
        <v>7357</v>
      </c>
      <c r="S8" s="10">
        <v>21</v>
      </c>
      <c r="T8" s="57"/>
      <c r="U8" s="57"/>
      <c r="V8" s="71"/>
      <c r="W8" s="71"/>
      <c r="X8" s="71"/>
      <c r="Y8" s="71"/>
      <c r="Z8" s="71"/>
      <c r="AA8" s="57"/>
      <c r="AC8" s="57"/>
      <c r="AD8" s="57"/>
      <c r="AE8" s="57"/>
      <c r="AF8" s="57"/>
    </row>
    <row r="9" spans="1:32" ht="12.75" customHeight="1" x14ac:dyDescent="0.25">
      <c r="A9" s="15" t="s">
        <v>52</v>
      </c>
      <c r="B9" s="10">
        <v>294</v>
      </c>
      <c r="C9" s="10"/>
      <c r="D9" s="10">
        <v>1395</v>
      </c>
      <c r="E9" s="10">
        <v>29</v>
      </c>
      <c r="F9" s="10">
        <v>4236</v>
      </c>
      <c r="G9" s="10">
        <v>35</v>
      </c>
      <c r="H9" s="10">
        <v>394</v>
      </c>
      <c r="I9" s="10">
        <v>3</v>
      </c>
      <c r="J9" s="10">
        <v>367</v>
      </c>
      <c r="K9" s="10">
        <v>1</v>
      </c>
      <c r="L9" s="10">
        <v>198</v>
      </c>
      <c r="M9" s="10"/>
      <c r="N9" s="10">
        <v>183</v>
      </c>
      <c r="O9" s="10"/>
      <c r="P9" s="10">
        <v>11</v>
      </c>
      <c r="Q9" s="10">
        <v>6</v>
      </c>
      <c r="R9" s="33">
        <f t="shared" si="0"/>
        <v>7152</v>
      </c>
      <c r="S9" s="10">
        <v>21</v>
      </c>
      <c r="T9" s="57"/>
      <c r="U9" s="57"/>
      <c r="V9" s="57"/>
      <c r="W9" s="57"/>
      <c r="X9" s="57"/>
      <c r="Y9" s="57"/>
      <c r="Z9" s="57"/>
      <c r="AA9" s="57"/>
      <c r="AC9" s="57"/>
    </row>
    <row r="10" spans="1:32" ht="12.75" customHeight="1" x14ac:dyDescent="0.25">
      <c r="A10" s="15" t="s">
        <v>53</v>
      </c>
      <c r="B10" s="10">
        <v>283</v>
      </c>
      <c r="C10" s="10"/>
      <c r="D10" s="10">
        <v>1246</v>
      </c>
      <c r="E10" s="10">
        <v>21</v>
      </c>
      <c r="F10" s="10">
        <v>3925</v>
      </c>
      <c r="G10" s="10">
        <v>25</v>
      </c>
      <c r="H10" s="10">
        <v>375</v>
      </c>
      <c r="I10" s="10">
        <v>8</v>
      </c>
      <c r="J10" s="10">
        <v>321</v>
      </c>
      <c r="K10" s="10"/>
      <c r="L10" s="10">
        <v>183</v>
      </c>
      <c r="M10" s="10"/>
      <c r="N10" s="10">
        <v>157</v>
      </c>
      <c r="O10" s="10"/>
      <c r="P10" s="10">
        <v>14</v>
      </c>
      <c r="Q10" s="10">
        <v>7</v>
      </c>
      <c r="R10" s="33">
        <f t="shared" si="0"/>
        <v>6565</v>
      </c>
      <c r="S10" s="10">
        <v>21</v>
      </c>
      <c r="T10" s="57"/>
      <c r="U10" s="57"/>
      <c r="V10" s="71"/>
      <c r="W10" s="57"/>
      <c r="X10" s="57"/>
      <c r="Y10" s="57"/>
      <c r="Z10" s="57"/>
      <c r="AA10" s="57"/>
      <c r="AC10" s="57"/>
    </row>
    <row r="11" spans="1:32" ht="12.75" customHeight="1" x14ac:dyDescent="0.25">
      <c r="A11" s="15" t="s">
        <v>54</v>
      </c>
      <c r="B11" s="10">
        <v>260</v>
      </c>
      <c r="C11" s="10"/>
      <c r="D11" s="10">
        <v>1187</v>
      </c>
      <c r="E11" s="10">
        <v>15</v>
      </c>
      <c r="F11" s="10">
        <v>3713</v>
      </c>
      <c r="G11" s="10">
        <v>24</v>
      </c>
      <c r="H11" s="10">
        <v>388</v>
      </c>
      <c r="I11" s="10">
        <v>23</v>
      </c>
      <c r="J11" s="10">
        <v>351</v>
      </c>
      <c r="K11" s="10"/>
      <c r="L11" s="10">
        <v>162</v>
      </c>
      <c r="M11" s="10">
        <v>2</v>
      </c>
      <c r="N11" s="10">
        <v>157</v>
      </c>
      <c r="O11" s="10"/>
      <c r="P11" s="10">
        <v>13</v>
      </c>
      <c r="Q11" s="10">
        <v>3</v>
      </c>
      <c r="R11" s="33">
        <f t="shared" si="0"/>
        <v>6298</v>
      </c>
      <c r="S11" s="10">
        <v>19</v>
      </c>
      <c r="T11" s="57"/>
      <c r="U11" s="57"/>
      <c r="V11" s="57"/>
      <c r="W11" s="57"/>
      <c r="X11" s="57"/>
      <c r="Y11" s="57"/>
      <c r="Z11" s="57"/>
      <c r="AA11" s="57"/>
      <c r="AC11" s="57"/>
    </row>
    <row r="12" spans="1:32" ht="12.75" customHeight="1" x14ac:dyDescent="0.25">
      <c r="A12" s="15" t="s">
        <v>55</v>
      </c>
      <c r="B12" s="10">
        <v>491</v>
      </c>
      <c r="C12" s="10"/>
      <c r="D12" s="10">
        <v>1245</v>
      </c>
      <c r="E12" s="10">
        <v>19</v>
      </c>
      <c r="F12" s="10">
        <v>4293</v>
      </c>
      <c r="G12" s="10">
        <v>36</v>
      </c>
      <c r="H12" s="10">
        <v>363</v>
      </c>
      <c r="I12" s="10">
        <v>21</v>
      </c>
      <c r="J12" s="10">
        <v>323</v>
      </c>
      <c r="K12" s="10"/>
      <c r="L12" s="10">
        <v>161</v>
      </c>
      <c r="M12" s="10"/>
      <c r="N12" s="10">
        <v>196</v>
      </c>
      <c r="O12" s="10">
        <v>1</v>
      </c>
      <c r="P12" s="10">
        <v>12</v>
      </c>
      <c r="Q12" s="10">
        <v>6</v>
      </c>
      <c r="R12" s="33">
        <f t="shared" si="0"/>
        <v>7167</v>
      </c>
      <c r="S12" s="10">
        <v>20</v>
      </c>
      <c r="T12" s="57"/>
      <c r="U12" s="57"/>
      <c r="V12" s="57"/>
      <c r="W12" s="57"/>
      <c r="X12" s="57"/>
      <c r="Y12" s="57"/>
      <c r="Z12" s="57"/>
      <c r="AA12" s="57"/>
      <c r="AC12" s="57"/>
    </row>
    <row r="13" spans="1:32" ht="12.75" customHeight="1" x14ac:dyDescent="0.25">
      <c r="A13" s="15" t="s">
        <v>56</v>
      </c>
      <c r="B13" s="10">
        <v>307</v>
      </c>
      <c r="C13" s="10">
        <v>1</v>
      </c>
      <c r="D13" s="10">
        <v>1314</v>
      </c>
      <c r="E13" s="10">
        <v>31</v>
      </c>
      <c r="F13" s="10">
        <v>3881</v>
      </c>
      <c r="G13" s="10">
        <v>24</v>
      </c>
      <c r="H13" s="10">
        <v>329</v>
      </c>
      <c r="I13" s="10">
        <v>26</v>
      </c>
      <c r="J13" s="10">
        <v>286</v>
      </c>
      <c r="K13" s="10">
        <v>1</v>
      </c>
      <c r="L13" s="10">
        <v>181</v>
      </c>
      <c r="M13" s="10"/>
      <c r="N13" s="10">
        <v>146</v>
      </c>
      <c r="O13" s="10"/>
      <c r="P13" s="10">
        <v>6</v>
      </c>
      <c r="Q13" s="10">
        <v>5</v>
      </c>
      <c r="R13" s="33">
        <f t="shared" si="0"/>
        <v>6538</v>
      </c>
      <c r="S13" s="10">
        <v>23</v>
      </c>
      <c r="T13" s="57"/>
      <c r="U13" s="57"/>
      <c r="V13" s="57"/>
      <c r="W13" s="57"/>
      <c r="X13" s="57"/>
      <c r="Y13" s="57"/>
      <c r="Z13" s="57"/>
      <c r="AA13" s="57"/>
      <c r="AC13" s="57"/>
    </row>
    <row r="14" spans="1:32" ht="12.75" customHeight="1" x14ac:dyDescent="0.25">
      <c r="A14" s="15" t="s">
        <v>57</v>
      </c>
      <c r="B14" s="10">
        <v>197</v>
      </c>
      <c r="C14" s="10">
        <v>1</v>
      </c>
      <c r="D14" s="10">
        <v>769</v>
      </c>
      <c r="E14" s="10">
        <v>22</v>
      </c>
      <c r="F14" s="10">
        <v>2857</v>
      </c>
      <c r="G14" s="10">
        <v>36</v>
      </c>
      <c r="H14" s="10">
        <v>280</v>
      </c>
      <c r="I14" s="10">
        <v>28</v>
      </c>
      <c r="J14" s="10">
        <v>258</v>
      </c>
      <c r="K14" s="10">
        <v>1</v>
      </c>
      <c r="L14" s="10">
        <v>78</v>
      </c>
      <c r="M14" s="10"/>
      <c r="N14" s="10">
        <v>94</v>
      </c>
      <c r="O14" s="10">
        <v>4</v>
      </c>
      <c r="P14" s="10">
        <v>7</v>
      </c>
      <c r="Q14" s="10">
        <v>14</v>
      </c>
      <c r="R14" s="33">
        <f t="shared" si="0"/>
        <v>4646</v>
      </c>
      <c r="S14" s="10">
        <v>21</v>
      </c>
      <c r="T14" s="57"/>
      <c r="U14" s="57"/>
      <c r="V14" s="57"/>
      <c r="W14" s="57"/>
      <c r="X14" s="57"/>
      <c r="Y14" s="57"/>
      <c r="Z14" s="57"/>
      <c r="AA14" s="57"/>
      <c r="AC14" s="57"/>
    </row>
    <row r="15" spans="1:32" ht="12.75" customHeight="1" x14ac:dyDescent="0.25">
      <c r="A15" s="15" t="s">
        <v>58</v>
      </c>
      <c r="B15" s="10">
        <v>200</v>
      </c>
      <c r="C15" s="10"/>
      <c r="D15" s="10">
        <v>1198</v>
      </c>
      <c r="E15" s="10">
        <v>23</v>
      </c>
      <c r="F15" s="10">
        <v>5150</v>
      </c>
      <c r="G15" s="10">
        <v>17</v>
      </c>
      <c r="H15" s="10">
        <v>470</v>
      </c>
      <c r="I15" s="10">
        <v>14</v>
      </c>
      <c r="J15" s="10">
        <v>344</v>
      </c>
      <c r="K15" s="10"/>
      <c r="L15" s="10">
        <v>189</v>
      </c>
      <c r="M15" s="10"/>
      <c r="N15" s="10">
        <v>194</v>
      </c>
      <c r="O15" s="10"/>
      <c r="P15" s="10">
        <v>14</v>
      </c>
      <c r="Q15" s="10">
        <v>13</v>
      </c>
      <c r="R15" s="33">
        <f t="shared" si="0"/>
        <v>7826</v>
      </c>
      <c r="S15" s="10">
        <v>21</v>
      </c>
      <c r="T15" s="57"/>
      <c r="U15" s="57"/>
      <c r="V15" s="57"/>
      <c r="W15" s="57"/>
      <c r="X15" s="57"/>
      <c r="Y15" s="57"/>
      <c r="Z15" s="57"/>
      <c r="AA15" s="57"/>
      <c r="AC15" s="57"/>
    </row>
    <row r="16" spans="1:32" ht="12.75" customHeight="1" x14ac:dyDescent="0.25">
      <c r="A16" s="15" t="s">
        <v>59</v>
      </c>
      <c r="B16" s="10">
        <v>202</v>
      </c>
      <c r="C16" s="10"/>
      <c r="D16" s="10">
        <v>1497</v>
      </c>
      <c r="E16" s="10">
        <v>22</v>
      </c>
      <c r="F16" s="10">
        <v>5143</v>
      </c>
      <c r="G16" s="10">
        <v>47</v>
      </c>
      <c r="H16" s="10">
        <v>459</v>
      </c>
      <c r="I16" s="10">
        <v>15</v>
      </c>
      <c r="J16" s="10">
        <v>353</v>
      </c>
      <c r="K16" s="10"/>
      <c r="L16" s="10">
        <v>166</v>
      </c>
      <c r="M16" s="10"/>
      <c r="N16" s="10">
        <v>239</v>
      </c>
      <c r="O16" s="10"/>
      <c r="P16" s="10">
        <v>19</v>
      </c>
      <c r="Q16" s="10">
        <v>19</v>
      </c>
      <c r="R16" s="33">
        <f t="shared" si="0"/>
        <v>8181</v>
      </c>
      <c r="S16" s="10">
        <v>23</v>
      </c>
      <c r="T16" s="57"/>
      <c r="U16" s="57"/>
      <c r="V16" s="57"/>
      <c r="W16" s="57"/>
      <c r="X16" s="57"/>
      <c r="Y16" s="57"/>
      <c r="Z16" s="57"/>
      <c r="AA16" s="57"/>
      <c r="AC16" s="57"/>
    </row>
    <row r="17" spans="1:29" ht="12.75" customHeight="1" x14ac:dyDescent="0.25">
      <c r="A17" s="15" t="s">
        <v>60</v>
      </c>
      <c r="B17" s="10">
        <v>167</v>
      </c>
      <c r="C17" s="10"/>
      <c r="D17" s="10">
        <v>1063</v>
      </c>
      <c r="E17" s="10">
        <v>17</v>
      </c>
      <c r="F17" s="10">
        <v>4705</v>
      </c>
      <c r="G17" s="10">
        <v>17</v>
      </c>
      <c r="H17" s="10">
        <v>443</v>
      </c>
      <c r="I17" s="10">
        <v>17</v>
      </c>
      <c r="J17" s="10">
        <v>351</v>
      </c>
      <c r="K17" s="10">
        <v>1</v>
      </c>
      <c r="L17" s="10">
        <v>174</v>
      </c>
      <c r="M17" s="10"/>
      <c r="N17" s="10">
        <v>207</v>
      </c>
      <c r="O17" s="10"/>
      <c r="P17" s="10">
        <v>14</v>
      </c>
      <c r="Q17" s="10">
        <v>9</v>
      </c>
      <c r="R17" s="33">
        <f t="shared" si="0"/>
        <v>7185</v>
      </c>
      <c r="S17" s="10">
        <v>19</v>
      </c>
      <c r="T17" s="57"/>
      <c r="U17" s="57"/>
      <c r="V17" s="57"/>
      <c r="W17" s="57"/>
      <c r="X17" s="57"/>
      <c r="Y17" s="57"/>
      <c r="Z17" s="57"/>
      <c r="AA17" s="57"/>
      <c r="AC17" s="57"/>
    </row>
    <row r="18" spans="1:29" ht="12.75" customHeight="1" x14ac:dyDescent="0.25">
      <c r="A18" s="15" t="s">
        <v>61</v>
      </c>
      <c r="B18" s="10">
        <v>226</v>
      </c>
      <c r="C18" s="10">
        <v>5</v>
      </c>
      <c r="D18" s="10">
        <v>1137</v>
      </c>
      <c r="E18" s="10">
        <v>16</v>
      </c>
      <c r="F18" s="10">
        <v>3925</v>
      </c>
      <c r="G18" s="10">
        <v>33</v>
      </c>
      <c r="H18" s="10">
        <v>359</v>
      </c>
      <c r="I18" s="10">
        <v>14</v>
      </c>
      <c r="J18" s="10">
        <v>312</v>
      </c>
      <c r="K18" s="10"/>
      <c r="L18" s="10">
        <v>146</v>
      </c>
      <c r="M18" s="10">
        <v>1</v>
      </c>
      <c r="N18" s="10">
        <v>195</v>
      </c>
      <c r="O18" s="10"/>
      <c r="P18" s="10">
        <v>14</v>
      </c>
      <c r="Q18" s="10">
        <v>19</v>
      </c>
      <c r="R18" s="33">
        <f t="shared" si="0"/>
        <v>6402</v>
      </c>
      <c r="S18" s="10">
        <v>21</v>
      </c>
      <c r="T18" s="57"/>
      <c r="U18" s="57"/>
      <c r="V18" s="57"/>
      <c r="W18" s="57"/>
      <c r="X18" s="57"/>
      <c r="Y18" s="57"/>
      <c r="Z18" s="57"/>
      <c r="AA18" s="57"/>
      <c r="AB18" s="57"/>
      <c r="AC18" s="57"/>
    </row>
    <row r="19" spans="1:29" ht="12.75" customHeight="1" x14ac:dyDescent="0.25">
      <c r="A19" s="15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33"/>
      <c r="S19" s="10"/>
      <c r="T19" s="57"/>
      <c r="U19" s="57"/>
      <c r="V19" s="57"/>
      <c r="W19" s="57"/>
      <c r="X19" s="57"/>
      <c r="Y19" s="57"/>
      <c r="Z19" s="57"/>
      <c r="AA19" s="57"/>
      <c r="AC19" s="57"/>
    </row>
    <row r="20" spans="1:29" ht="12.75" customHeight="1" x14ac:dyDescent="0.25">
      <c r="A20" s="16" t="s">
        <v>3</v>
      </c>
      <c r="B20" s="17">
        <f t="shared" ref="B20:S20" si="1">SUM(B7:B19)</f>
        <v>3056</v>
      </c>
      <c r="C20" s="17">
        <f t="shared" si="1"/>
        <v>7</v>
      </c>
      <c r="D20" s="17">
        <f t="shared" si="1"/>
        <v>14854</v>
      </c>
      <c r="E20" s="17">
        <f t="shared" si="1"/>
        <v>248</v>
      </c>
      <c r="F20" s="17">
        <f t="shared" si="1"/>
        <v>50978</v>
      </c>
      <c r="G20" s="17">
        <f t="shared" si="1"/>
        <v>346</v>
      </c>
      <c r="H20" s="17">
        <f t="shared" si="1"/>
        <v>4694</v>
      </c>
      <c r="I20" s="17">
        <f t="shared" si="1"/>
        <v>208</v>
      </c>
      <c r="J20" s="17">
        <f t="shared" si="1"/>
        <v>4093</v>
      </c>
      <c r="K20" s="17">
        <f t="shared" si="1"/>
        <v>7</v>
      </c>
      <c r="L20" s="17">
        <f t="shared" si="1"/>
        <v>1966</v>
      </c>
      <c r="M20" s="17">
        <f t="shared" si="1"/>
        <v>4</v>
      </c>
      <c r="N20" s="17">
        <f t="shared" si="1"/>
        <v>2170</v>
      </c>
      <c r="O20" s="17">
        <f t="shared" si="1"/>
        <v>6</v>
      </c>
      <c r="P20" s="17">
        <f t="shared" si="1"/>
        <v>157</v>
      </c>
      <c r="Q20" s="17">
        <f t="shared" si="1"/>
        <v>111</v>
      </c>
      <c r="R20" s="44">
        <f t="shared" si="1"/>
        <v>82905</v>
      </c>
      <c r="S20" s="17">
        <f t="shared" si="1"/>
        <v>252</v>
      </c>
      <c r="T20" s="57"/>
      <c r="U20" s="57"/>
      <c r="V20" s="57"/>
      <c r="W20" s="57"/>
      <c r="X20" s="57"/>
      <c r="Y20" s="57"/>
      <c r="Z20" s="57"/>
      <c r="AA20" s="57"/>
      <c r="AB20" s="57"/>
      <c r="AC20" s="57"/>
    </row>
    <row r="21" spans="1:29" ht="12.75" customHeight="1" x14ac:dyDescent="0.25">
      <c r="T21" s="57"/>
      <c r="U21" s="57"/>
      <c r="V21" s="57"/>
      <c r="W21" s="57"/>
      <c r="X21" s="57"/>
      <c r="Y21" s="57"/>
      <c r="Z21" s="57"/>
      <c r="AA21" s="57"/>
      <c r="AB21" s="57"/>
      <c r="AC21" s="57"/>
    </row>
    <row r="22" spans="1:29" ht="12.75" customHeight="1" x14ac:dyDescent="0.25">
      <c r="R22" s="4" t="s">
        <v>34</v>
      </c>
      <c r="S22" s="19">
        <f>R20/S20</f>
        <v>328.98809523809524</v>
      </c>
      <c r="T22" s="57"/>
      <c r="U22" s="57"/>
      <c r="V22" s="57"/>
      <c r="W22" s="57"/>
      <c r="X22" s="57"/>
      <c r="Y22" s="57"/>
      <c r="Z22" s="57"/>
      <c r="AA22" s="57"/>
      <c r="AB22" s="57"/>
      <c r="AC22" s="57"/>
    </row>
    <row r="23" spans="1:29" s="66" customFormat="1" ht="12.75" customHeight="1" x14ac:dyDescent="0.25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4"/>
      <c r="S23" s="3"/>
      <c r="T23" s="57"/>
      <c r="U23" s="57"/>
      <c r="V23" s="57"/>
      <c r="W23" s="57"/>
      <c r="X23" s="57"/>
      <c r="Y23" s="57"/>
      <c r="Z23" s="57"/>
      <c r="AA23" s="57"/>
      <c r="AB23" s="57"/>
      <c r="AC23" s="57"/>
    </row>
    <row r="24" spans="1:29" s="66" customFormat="1" ht="12.75" customHeight="1" x14ac:dyDescent="0.25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4"/>
      <c r="S24" s="3"/>
      <c r="T24" s="57"/>
      <c r="U24" s="57"/>
      <c r="V24" s="57"/>
      <c r="W24" s="57"/>
      <c r="X24" s="57"/>
      <c r="Y24" s="57"/>
      <c r="Z24" s="57"/>
      <c r="AA24" s="57"/>
      <c r="AB24" s="57"/>
      <c r="AC24" s="57"/>
    </row>
    <row r="25" spans="1:29" s="66" customFormat="1" ht="12.75" customHeight="1" x14ac:dyDescent="0.25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4"/>
      <c r="S25" s="3"/>
      <c r="T25" s="57"/>
      <c r="U25" s="57"/>
      <c r="V25" s="57"/>
      <c r="W25" s="57"/>
      <c r="X25" s="57"/>
      <c r="Y25" s="57"/>
      <c r="Z25" s="57"/>
      <c r="AA25" s="57"/>
      <c r="AB25" s="57"/>
      <c r="AC25" s="57"/>
    </row>
    <row r="26" spans="1:29" s="66" customFormat="1" ht="12.75" customHeight="1" x14ac:dyDescent="0.25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4"/>
      <c r="S26" s="3"/>
      <c r="T26" s="57"/>
      <c r="U26" s="57"/>
      <c r="V26" s="57"/>
      <c r="W26" s="57"/>
      <c r="X26" s="57"/>
      <c r="Y26" s="57"/>
      <c r="Z26" s="57"/>
      <c r="AA26" s="57"/>
      <c r="AB26" s="57"/>
      <c r="AC26" s="57"/>
    </row>
    <row r="27" spans="1:29" s="66" customFormat="1" ht="12.75" customHeight="1" x14ac:dyDescent="0.25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4"/>
      <c r="S27" s="3"/>
      <c r="T27" s="57"/>
      <c r="U27" s="57"/>
      <c r="V27" s="57"/>
      <c r="W27" s="57"/>
      <c r="X27" s="57"/>
      <c r="Y27" s="57"/>
      <c r="Z27" s="57"/>
      <c r="AA27" s="57"/>
      <c r="AB27" s="57"/>
      <c r="AC27" s="57"/>
    </row>
    <row r="28" spans="1:29" s="66" customFormat="1" ht="12.75" customHeight="1" x14ac:dyDescent="0.25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4"/>
      <c r="S28" s="3"/>
      <c r="T28" s="57"/>
      <c r="U28" s="57"/>
      <c r="V28" s="57"/>
      <c r="W28" s="57"/>
      <c r="X28" s="57"/>
      <c r="Y28" s="57"/>
      <c r="Z28" s="57"/>
      <c r="AA28" s="57"/>
      <c r="AB28" s="57"/>
      <c r="AC28" s="57"/>
    </row>
    <row r="29" spans="1:29" s="66" customFormat="1" ht="12.75" customHeight="1" x14ac:dyDescent="0.25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4"/>
      <c r="S29" s="3"/>
      <c r="T29" s="57"/>
      <c r="U29" s="57"/>
      <c r="V29" s="57"/>
      <c r="W29" s="57"/>
      <c r="X29" s="57"/>
      <c r="Y29" s="57"/>
      <c r="Z29" s="57"/>
      <c r="AA29" s="57"/>
      <c r="AB29" s="57"/>
      <c r="AC29" s="57"/>
    </row>
    <row r="30" spans="1:29" s="66" customFormat="1" ht="12.75" customHeight="1" x14ac:dyDescent="0.25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4"/>
      <c r="S30" s="3"/>
      <c r="T30" s="57"/>
      <c r="U30" s="57"/>
      <c r="V30" s="57"/>
      <c r="W30" s="57"/>
      <c r="X30" s="57"/>
      <c r="Y30" s="57"/>
      <c r="Z30" s="57"/>
      <c r="AA30" s="57"/>
      <c r="AB30" s="57"/>
      <c r="AC30" s="57"/>
    </row>
    <row r="31" spans="1:29" s="66" customFormat="1" ht="12.75" customHeight="1" x14ac:dyDescent="0.25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4"/>
      <c r="S31" s="3"/>
      <c r="T31" s="57"/>
      <c r="U31" s="57"/>
      <c r="V31" s="57"/>
      <c r="W31" s="57"/>
      <c r="X31" s="57"/>
      <c r="Y31" s="57"/>
      <c r="Z31" s="57"/>
      <c r="AA31" s="57"/>
      <c r="AB31" s="57"/>
      <c r="AC31" s="57"/>
    </row>
    <row r="32" spans="1:29" s="66" customFormat="1" ht="12.75" customHeight="1" x14ac:dyDescent="0.25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4"/>
      <c r="S32" s="3"/>
      <c r="T32" s="57"/>
      <c r="U32" s="57"/>
      <c r="V32" s="57"/>
      <c r="W32" s="57"/>
      <c r="X32" s="57"/>
      <c r="Y32" s="57"/>
      <c r="Z32" s="57"/>
      <c r="AA32" s="57"/>
      <c r="AB32" s="57"/>
      <c r="AC32" s="57"/>
    </row>
    <row r="33" spans="1:29" s="66" customFormat="1" ht="12.75" customHeight="1" x14ac:dyDescent="0.25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4"/>
      <c r="S33" s="3"/>
      <c r="T33" s="57"/>
      <c r="U33" s="57"/>
      <c r="V33" s="57"/>
      <c r="W33" s="57"/>
      <c r="X33" s="57"/>
      <c r="Y33" s="57"/>
      <c r="Z33" s="57"/>
      <c r="AA33" s="57"/>
      <c r="AB33" s="57"/>
      <c r="AC33" s="57"/>
    </row>
    <row r="34" spans="1:29" s="66" customFormat="1" ht="12.75" customHeight="1" x14ac:dyDescent="0.25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4"/>
      <c r="S34" s="3"/>
      <c r="T34" s="57"/>
      <c r="U34" s="57"/>
      <c r="V34" s="57"/>
      <c r="W34" s="57"/>
      <c r="X34" s="57"/>
      <c r="Y34" s="57"/>
      <c r="Z34" s="57"/>
      <c r="AA34" s="57"/>
      <c r="AB34" s="57"/>
      <c r="AC34" s="57"/>
    </row>
    <row r="35" spans="1:29" s="66" customFormat="1" ht="12.75" customHeight="1" x14ac:dyDescent="0.25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4"/>
      <c r="S35" s="3"/>
      <c r="T35" s="57"/>
      <c r="U35" s="57"/>
      <c r="V35" s="57"/>
      <c r="W35" s="57"/>
      <c r="X35" s="57"/>
      <c r="Y35" s="57"/>
      <c r="Z35" s="57"/>
      <c r="AA35" s="57"/>
      <c r="AB35" s="57"/>
      <c r="AC35" s="57"/>
    </row>
    <row r="36" spans="1:29" s="66" customFormat="1" ht="12.75" customHeight="1" x14ac:dyDescent="0.25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4"/>
      <c r="S36" s="3"/>
      <c r="T36" s="57"/>
      <c r="U36" s="57"/>
      <c r="V36" s="57"/>
      <c r="W36" s="57"/>
      <c r="X36" s="57"/>
      <c r="Y36" s="57"/>
      <c r="Z36" s="57"/>
      <c r="AA36" s="57"/>
      <c r="AB36" s="57"/>
      <c r="AC36" s="57"/>
    </row>
    <row r="37" spans="1:29" s="66" customFormat="1" ht="12.75" customHeight="1" x14ac:dyDescent="0.25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4"/>
      <c r="S37" s="3"/>
      <c r="T37" s="57"/>
      <c r="U37" s="57"/>
      <c r="V37" s="57"/>
      <c r="W37" s="57"/>
      <c r="X37" s="57"/>
      <c r="Y37" s="57"/>
      <c r="Z37" s="57"/>
      <c r="AA37" s="57"/>
      <c r="AB37" s="57"/>
      <c r="AC37" s="57"/>
    </row>
    <row r="38" spans="1:29" s="66" customFormat="1" ht="12.75" customHeight="1" x14ac:dyDescent="0.25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4"/>
      <c r="S38" s="3"/>
      <c r="T38" s="57"/>
      <c r="U38" s="57"/>
      <c r="V38" s="57"/>
      <c r="W38" s="57"/>
      <c r="X38" s="57"/>
      <c r="Y38" s="57"/>
      <c r="Z38" s="57"/>
      <c r="AA38" s="57"/>
      <c r="AB38" s="57"/>
      <c r="AC38" s="57"/>
    </row>
    <row r="39" spans="1:29" s="66" customFormat="1" ht="12.75" customHeight="1" x14ac:dyDescent="0.25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4"/>
      <c r="S39" s="3"/>
      <c r="T39" s="57"/>
      <c r="U39" s="57"/>
      <c r="V39" s="57"/>
      <c r="W39" s="57"/>
      <c r="X39" s="57"/>
      <c r="Y39" s="57"/>
      <c r="Z39" s="57"/>
      <c r="AA39" s="57"/>
      <c r="AB39" s="57"/>
      <c r="AC39" s="57"/>
    </row>
    <row r="40" spans="1:29" s="66" customFormat="1" ht="12.75" customHeight="1" x14ac:dyDescent="0.25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4"/>
      <c r="S40" s="3"/>
      <c r="T40" s="57"/>
      <c r="U40" s="57"/>
      <c r="V40" s="57"/>
      <c r="W40" s="57"/>
      <c r="X40" s="57"/>
      <c r="Y40" s="57"/>
      <c r="Z40" s="57"/>
      <c r="AA40" s="57"/>
      <c r="AB40" s="57"/>
      <c r="AC40" s="57"/>
    </row>
    <row r="41" spans="1:29" s="66" customFormat="1" ht="12.75" customHeight="1" x14ac:dyDescent="0.25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4"/>
      <c r="S41" s="3"/>
      <c r="T41" s="57"/>
      <c r="U41" s="57"/>
      <c r="V41" s="57"/>
      <c r="W41" s="57"/>
      <c r="X41" s="57"/>
      <c r="Y41" s="57"/>
      <c r="Z41" s="57"/>
      <c r="AA41" s="57"/>
      <c r="AB41" s="57"/>
      <c r="AC41" s="57"/>
    </row>
    <row r="42" spans="1:29" s="66" customFormat="1" ht="12.75" customHeight="1" x14ac:dyDescent="0.25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4"/>
      <c r="S42" s="3"/>
      <c r="T42" s="57"/>
      <c r="U42" s="57"/>
      <c r="V42" s="57"/>
      <c r="W42" s="57"/>
      <c r="X42" s="57"/>
      <c r="Y42" s="57"/>
      <c r="Z42" s="57"/>
      <c r="AA42" s="57"/>
      <c r="AB42" s="57"/>
      <c r="AC42" s="57"/>
    </row>
    <row r="43" spans="1:29" s="66" customFormat="1" ht="12.75" customHeight="1" x14ac:dyDescent="0.25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4"/>
      <c r="S43" s="3"/>
      <c r="T43" s="57"/>
      <c r="U43" s="57"/>
      <c r="V43" s="57"/>
      <c r="W43" s="57"/>
      <c r="X43" s="57"/>
      <c r="Y43" s="57"/>
      <c r="Z43" s="57"/>
      <c r="AA43" s="57"/>
      <c r="AB43" s="57"/>
      <c r="AC43" s="57"/>
    </row>
    <row r="44" spans="1:29" s="66" customFormat="1" ht="12.75" customHeight="1" x14ac:dyDescent="0.25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4"/>
      <c r="S44" s="3"/>
      <c r="T44" s="57"/>
      <c r="U44" s="57"/>
      <c r="V44" s="57"/>
      <c r="W44" s="57"/>
      <c r="X44" s="57"/>
      <c r="Y44" s="57"/>
      <c r="Z44" s="57"/>
      <c r="AA44" s="57"/>
      <c r="AB44" s="57"/>
      <c r="AC44" s="57"/>
    </row>
    <row r="45" spans="1:29" s="66" customFormat="1" ht="12.75" customHeight="1" x14ac:dyDescent="0.25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4"/>
      <c r="S45" s="3"/>
      <c r="T45" s="57"/>
      <c r="U45" s="57"/>
      <c r="V45" s="57"/>
      <c r="W45" s="57"/>
      <c r="X45" s="57"/>
      <c r="Y45" s="57"/>
      <c r="Z45" s="57"/>
      <c r="AA45" s="57"/>
      <c r="AB45" s="57"/>
      <c r="AC45" s="57"/>
    </row>
    <row r="46" spans="1:29" s="66" customFormat="1" ht="12.75" customHeight="1" x14ac:dyDescent="0.25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4"/>
      <c r="S46" s="3"/>
      <c r="T46" s="57"/>
      <c r="U46" s="57"/>
      <c r="V46" s="57"/>
      <c r="W46" s="57"/>
      <c r="X46" s="57"/>
      <c r="Y46" s="57"/>
      <c r="Z46" s="57"/>
      <c r="AA46" s="57"/>
      <c r="AB46" s="57"/>
      <c r="AC46" s="57"/>
    </row>
    <row r="47" spans="1:29" s="66" customFormat="1" ht="12.75" customHeight="1" x14ac:dyDescent="0.25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4"/>
      <c r="S47" s="3"/>
      <c r="T47" s="57"/>
      <c r="U47" s="57"/>
      <c r="V47" s="57"/>
      <c r="W47" s="57"/>
      <c r="X47" s="57"/>
      <c r="Y47" s="57"/>
      <c r="Z47" s="57"/>
      <c r="AA47" s="57"/>
      <c r="AB47" s="57"/>
      <c r="AC47" s="57"/>
    </row>
    <row r="48" spans="1:29" s="66" customFormat="1" ht="12.75" customHeight="1" x14ac:dyDescent="0.25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4"/>
      <c r="S48" s="3"/>
      <c r="T48" s="57"/>
      <c r="U48" s="57"/>
      <c r="V48" s="57"/>
      <c r="W48" s="57"/>
      <c r="X48" s="57"/>
      <c r="Y48" s="57"/>
      <c r="Z48" s="57"/>
      <c r="AA48" s="57"/>
      <c r="AB48" s="57"/>
      <c r="AC48" s="57"/>
    </row>
    <row r="49" spans="1:29" s="66" customFormat="1" ht="12.75" customHeight="1" x14ac:dyDescent="0.25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4"/>
      <c r="S49" s="3"/>
      <c r="T49" s="57"/>
      <c r="U49" s="57"/>
      <c r="V49" s="57"/>
      <c r="W49" s="57"/>
      <c r="X49" s="57"/>
      <c r="Y49" s="57"/>
      <c r="Z49" s="57"/>
      <c r="AA49" s="57"/>
      <c r="AB49" s="57"/>
      <c r="AC49" s="57"/>
    </row>
    <row r="50" spans="1:29" s="66" customFormat="1" ht="12.75" customHeight="1" x14ac:dyDescent="0.25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4"/>
      <c r="S50" s="3"/>
      <c r="T50" s="57"/>
      <c r="U50" s="57"/>
      <c r="V50" s="57"/>
      <c r="W50" s="57"/>
      <c r="X50" s="57"/>
      <c r="Y50" s="57"/>
      <c r="Z50" s="57"/>
      <c r="AA50" s="57"/>
      <c r="AB50" s="57"/>
      <c r="AC50" s="57"/>
    </row>
    <row r="51" spans="1:29" s="66" customFormat="1" ht="12.75" customHeight="1" x14ac:dyDescent="0.25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4"/>
      <c r="S51" s="3"/>
      <c r="T51" s="57"/>
      <c r="U51" s="57"/>
      <c r="V51" s="57"/>
      <c r="W51" s="57"/>
      <c r="X51" s="57"/>
      <c r="Y51" s="57"/>
      <c r="Z51" s="57"/>
      <c r="AA51" s="57"/>
      <c r="AB51" s="57"/>
      <c r="AC51" s="57"/>
    </row>
    <row r="52" spans="1:29" s="66" customFormat="1" ht="12.75" customHeight="1" x14ac:dyDescent="0.25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4"/>
      <c r="S52" s="3"/>
      <c r="T52" s="57"/>
      <c r="U52" s="57"/>
      <c r="V52" s="57"/>
      <c r="W52" s="57"/>
      <c r="X52" s="57"/>
      <c r="Y52" s="57"/>
      <c r="Z52" s="57"/>
      <c r="AA52" s="57"/>
      <c r="AB52" s="57"/>
      <c r="AC52" s="57"/>
    </row>
    <row r="53" spans="1:29" s="66" customFormat="1" ht="12.75" customHeight="1" x14ac:dyDescent="0.25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4"/>
      <c r="S53" s="3"/>
      <c r="T53" s="57"/>
      <c r="U53" s="57"/>
      <c r="V53" s="57"/>
      <c r="W53" s="57"/>
      <c r="X53" s="57"/>
      <c r="Y53" s="57"/>
      <c r="Z53" s="57"/>
      <c r="AA53" s="57"/>
      <c r="AB53" s="57"/>
      <c r="AC53" s="57"/>
    </row>
    <row r="54" spans="1:29" s="66" customFormat="1" ht="12.75" customHeight="1" x14ac:dyDescent="0.25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4"/>
      <c r="S54" s="3"/>
      <c r="T54" s="57"/>
      <c r="U54" s="57"/>
      <c r="V54" s="57"/>
      <c r="W54" s="57"/>
      <c r="X54" s="57"/>
      <c r="Y54" s="57"/>
      <c r="Z54" s="57"/>
      <c r="AA54" s="57"/>
      <c r="AB54" s="57"/>
      <c r="AC54" s="57"/>
    </row>
    <row r="55" spans="1:29" s="66" customFormat="1" ht="12.75" customHeight="1" x14ac:dyDescent="0.25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4"/>
      <c r="S55" s="3"/>
      <c r="T55" s="57"/>
      <c r="U55" s="57"/>
      <c r="V55" s="57"/>
      <c r="W55" s="57"/>
      <c r="X55" s="57"/>
      <c r="Y55" s="57"/>
      <c r="Z55" s="57"/>
      <c r="AA55" s="57"/>
      <c r="AB55" s="57"/>
      <c r="AC55" s="57"/>
    </row>
    <row r="56" spans="1:29" s="66" customFormat="1" ht="12.75" customHeight="1" x14ac:dyDescent="0.25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4"/>
      <c r="S56" s="3"/>
      <c r="T56" s="57"/>
      <c r="U56" s="57"/>
      <c r="V56" s="57"/>
      <c r="W56" s="57"/>
      <c r="X56" s="57"/>
      <c r="Y56" s="57"/>
      <c r="Z56" s="57"/>
      <c r="AA56" s="57"/>
      <c r="AB56" s="57"/>
      <c r="AC56" s="57"/>
    </row>
    <row r="57" spans="1:29" s="66" customFormat="1" ht="12.75" customHeight="1" x14ac:dyDescent="0.25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4"/>
      <c r="S57" s="3"/>
      <c r="T57" s="57"/>
      <c r="U57" s="57"/>
      <c r="V57" s="57"/>
      <c r="W57" s="57"/>
      <c r="X57" s="57"/>
      <c r="Y57" s="57"/>
      <c r="Z57" s="57"/>
      <c r="AA57" s="57"/>
      <c r="AB57" s="57"/>
      <c r="AC57" s="57"/>
    </row>
    <row r="58" spans="1:29" s="66" customFormat="1" ht="12.75" customHeight="1" x14ac:dyDescent="0.25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4"/>
      <c r="S58" s="3"/>
      <c r="T58" s="57"/>
      <c r="U58" s="57"/>
      <c r="V58" s="57"/>
      <c r="W58" s="57"/>
      <c r="X58" s="57"/>
      <c r="Y58" s="57"/>
      <c r="Z58" s="57"/>
      <c r="AA58" s="57"/>
      <c r="AB58" s="57"/>
      <c r="AC58" s="57"/>
    </row>
    <row r="59" spans="1:29" s="66" customFormat="1" ht="12.75" customHeight="1" x14ac:dyDescent="0.25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4"/>
      <c r="S59" s="3"/>
      <c r="T59" s="57"/>
      <c r="U59" s="57"/>
      <c r="V59" s="57"/>
      <c r="W59" s="57"/>
      <c r="X59" s="57"/>
      <c r="Y59" s="57"/>
      <c r="Z59" s="57"/>
      <c r="AA59" s="57"/>
      <c r="AB59" s="57"/>
      <c r="AC59" s="57"/>
    </row>
    <row r="60" spans="1:29" s="66" customFormat="1" ht="12.75" customHeight="1" x14ac:dyDescent="0.25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4"/>
      <c r="S60" s="3"/>
      <c r="T60" s="57"/>
      <c r="U60" s="57"/>
      <c r="V60" s="57"/>
      <c r="W60" s="57"/>
      <c r="X60" s="57"/>
      <c r="Y60" s="57"/>
      <c r="Z60" s="57"/>
      <c r="AA60" s="57"/>
      <c r="AB60" s="57"/>
      <c r="AC60" s="57"/>
    </row>
    <row r="61" spans="1:29" s="66" customFormat="1" ht="12.75" customHeight="1" x14ac:dyDescent="0.25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4"/>
      <c r="S61" s="3"/>
      <c r="T61" s="57"/>
      <c r="U61" s="57"/>
      <c r="V61" s="57"/>
      <c r="W61" s="57"/>
      <c r="X61" s="57"/>
      <c r="Y61" s="57"/>
      <c r="Z61" s="57"/>
      <c r="AA61" s="57"/>
      <c r="AB61" s="57"/>
      <c r="AC61" s="57"/>
    </row>
    <row r="62" spans="1:29" s="66" customFormat="1" ht="12.75" customHeight="1" x14ac:dyDescent="0.25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4"/>
      <c r="S62" s="3"/>
      <c r="T62" s="57"/>
      <c r="U62" s="57"/>
      <c r="V62" s="57"/>
      <c r="W62" s="57"/>
      <c r="X62" s="57"/>
      <c r="Y62" s="57"/>
      <c r="Z62" s="57"/>
      <c r="AA62" s="57"/>
      <c r="AB62" s="57"/>
      <c r="AC62" s="57"/>
    </row>
    <row r="63" spans="1:29" s="66" customFormat="1" ht="12.75" customHeight="1" x14ac:dyDescent="0.25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4"/>
      <c r="S63" s="3"/>
      <c r="T63" s="57"/>
      <c r="U63" s="57"/>
      <c r="V63" s="57"/>
      <c r="W63" s="57"/>
      <c r="X63" s="57"/>
      <c r="Y63" s="57"/>
      <c r="Z63" s="57"/>
      <c r="AA63" s="57"/>
      <c r="AB63" s="57"/>
      <c r="AC63" s="57"/>
    </row>
    <row r="64" spans="1:29" s="66" customFormat="1" ht="12.75" customHeight="1" x14ac:dyDescent="0.25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4"/>
      <c r="S64" s="3"/>
      <c r="T64" s="57"/>
      <c r="U64" s="57"/>
      <c r="V64" s="57"/>
      <c r="W64" s="57"/>
      <c r="X64" s="57"/>
      <c r="Y64" s="57"/>
      <c r="Z64" s="57"/>
      <c r="AA64" s="57"/>
      <c r="AB64" s="57"/>
      <c r="AC64" s="57"/>
    </row>
    <row r="65" spans="1:29" s="66" customFormat="1" ht="12.75" customHeight="1" x14ac:dyDescent="0.25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4"/>
      <c r="S65" s="3"/>
      <c r="T65" s="57"/>
      <c r="U65" s="57"/>
      <c r="V65" s="57"/>
      <c r="W65" s="57"/>
      <c r="X65" s="57"/>
      <c r="Y65" s="57"/>
      <c r="Z65" s="57"/>
      <c r="AA65" s="57"/>
      <c r="AB65" s="57"/>
      <c r="AC65" s="57"/>
    </row>
    <row r="66" spans="1:29" s="66" customFormat="1" ht="12.75" customHeight="1" x14ac:dyDescent="0.25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4"/>
      <c r="S66" s="3"/>
      <c r="T66" s="57"/>
      <c r="U66" s="57"/>
      <c r="V66" s="57"/>
      <c r="W66" s="57"/>
      <c r="X66" s="57"/>
      <c r="Y66" s="57"/>
      <c r="Z66" s="57"/>
      <c r="AA66" s="57"/>
      <c r="AB66" s="57"/>
      <c r="AC66" s="57"/>
    </row>
    <row r="67" spans="1:29" s="66" customFormat="1" ht="12.75" customHeight="1" x14ac:dyDescent="0.25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4"/>
      <c r="S67" s="3"/>
      <c r="T67" s="57"/>
      <c r="U67" s="57"/>
      <c r="V67" s="57"/>
      <c r="W67" s="57"/>
      <c r="X67" s="57"/>
      <c r="Y67" s="57"/>
      <c r="Z67" s="57"/>
      <c r="AA67" s="57"/>
      <c r="AB67" s="57"/>
      <c r="AC67" s="57"/>
    </row>
    <row r="68" spans="1:29" s="66" customFormat="1" ht="12.75" customHeight="1" x14ac:dyDescent="0.25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4"/>
      <c r="S68" s="3"/>
      <c r="T68" s="57"/>
      <c r="U68" s="57"/>
      <c r="V68" s="57"/>
      <c r="W68" s="57"/>
      <c r="X68" s="57"/>
      <c r="Y68" s="57"/>
      <c r="Z68" s="57"/>
      <c r="AA68" s="57"/>
      <c r="AB68" s="57"/>
      <c r="AC68" s="57"/>
    </row>
    <row r="69" spans="1:29" s="66" customFormat="1" ht="12.75" customHeight="1" x14ac:dyDescent="0.25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4"/>
      <c r="S69" s="3"/>
      <c r="T69" s="57"/>
      <c r="U69" s="57"/>
      <c r="V69" s="57"/>
      <c r="W69" s="57"/>
      <c r="X69" s="57"/>
      <c r="Y69" s="57"/>
      <c r="Z69" s="57"/>
      <c r="AA69" s="57"/>
      <c r="AB69" s="57"/>
      <c r="AC69" s="57"/>
    </row>
    <row r="70" spans="1:29" s="66" customFormat="1" ht="12.75" customHeight="1" x14ac:dyDescent="0.25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4"/>
      <c r="S70" s="3"/>
      <c r="T70" s="57"/>
      <c r="U70" s="57"/>
      <c r="V70" s="57"/>
      <c r="W70" s="57"/>
      <c r="X70" s="57"/>
      <c r="Y70" s="57"/>
      <c r="Z70" s="57"/>
      <c r="AA70" s="57"/>
      <c r="AB70" s="57"/>
      <c r="AC70" s="57"/>
    </row>
    <row r="71" spans="1:29" s="66" customFormat="1" ht="12.75" customHeight="1" x14ac:dyDescent="0.25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4"/>
      <c r="S71" s="3"/>
      <c r="T71" s="57"/>
      <c r="U71" s="57"/>
      <c r="V71" s="57"/>
      <c r="W71" s="57"/>
      <c r="X71" s="57"/>
      <c r="Y71" s="57"/>
      <c r="Z71" s="57"/>
      <c r="AA71" s="57"/>
      <c r="AB71" s="57"/>
      <c r="AC71" s="57"/>
    </row>
    <row r="72" spans="1:29" s="66" customFormat="1" ht="12.75" customHeight="1" x14ac:dyDescent="0.25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4"/>
      <c r="S72" s="3"/>
      <c r="T72" s="57"/>
      <c r="U72" s="57"/>
      <c r="V72" s="57"/>
      <c r="W72" s="57"/>
      <c r="X72" s="57"/>
      <c r="Y72" s="57"/>
      <c r="Z72" s="57"/>
      <c r="AA72" s="57"/>
      <c r="AB72" s="57"/>
      <c r="AC72" s="57"/>
    </row>
    <row r="73" spans="1:29" s="66" customFormat="1" ht="12.75" customHeight="1" x14ac:dyDescent="0.25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4"/>
      <c r="S73" s="3"/>
      <c r="T73" s="57"/>
      <c r="U73" s="57"/>
      <c r="V73" s="57"/>
      <c r="W73" s="57"/>
      <c r="X73" s="57"/>
      <c r="Y73" s="57"/>
      <c r="Z73" s="57"/>
      <c r="AA73" s="57"/>
      <c r="AB73" s="57"/>
      <c r="AC73" s="57"/>
    </row>
    <row r="74" spans="1:29" s="66" customFormat="1" ht="12.75" customHeight="1" x14ac:dyDescent="0.25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4"/>
      <c r="S74" s="3"/>
      <c r="T74" s="57"/>
      <c r="U74" s="57"/>
      <c r="V74" s="57"/>
      <c r="W74" s="57"/>
      <c r="X74" s="57"/>
      <c r="Y74" s="57"/>
      <c r="Z74" s="57"/>
      <c r="AA74" s="57"/>
      <c r="AB74" s="57"/>
      <c r="AC74" s="57"/>
    </row>
    <row r="75" spans="1:29" s="66" customFormat="1" ht="12.75" customHeight="1" x14ac:dyDescent="0.25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4"/>
      <c r="S75" s="3"/>
      <c r="T75" s="57"/>
      <c r="U75" s="57"/>
      <c r="V75" s="57"/>
      <c r="W75" s="57"/>
      <c r="X75" s="57"/>
      <c r="Y75" s="57"/>
      <c r="Z75" s="57"/>
      <c r="AA75" s="57"/>
      <c r="AB75" s="57"/>
      <c r="AC75" s="57"/>
    </row>
    <row r="76" spans="1:29" s="66" customFormat="1" ht="12.75" customHeight="1" x14ac:dyDescent="0.25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4"/>
      <c r="S76" s="3"/>
      <c r="T76" s="57"/>
      <c r="U76" s="57"/>
      <c r="V76" s="57"/>
      <c r="W76" s="57"/>
      <c r="X76" s="57"/>
      <c r="Y76" s="57"/>
      <c r="Z76" s="57"/>
      <c r="AA76" s="57"/>
      <c r="AB76" s="57"/>
      <c r="AC76" s="57"/>
    </row>
    <row r="77" spans="1:29" s="66" customFormat="1" ht="12.75" customHeight="1" x14ac:dyDescent="0.25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4"/>
      <c r="S77" s="3"/>
      <c r="T77" s="57"/>
      <c r="U77" s="57"/>
      <c r="V77" s="57"/>
      <c r="W77" s="57"/>
      <c r="X77" s="57"/>
      <c r="Y77" s="57"/>
      <c r="Z77" s="57"/>
      <c r="AA77" s="57"/>
      <c r="AB77" s="57"/>
      <c r="AC77" s="57"/>
    </row>
    <row r="78" spans="1:29" s="66" customFormat="1" ht="12.75" customHeight="1" x14ac:dyDescent="0.25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4"/>
      <c r="S78" s="3"/>
      <c r="T78" s="57"/>
      <c r="U78" s="57"/>
      <c r="V78" s="57"/>
      <c r="W78" s="57"/>
      <c r="X78" s="57"/>
      <c r="Y78" s="57"/>
      <c r="Z78" s="57"/>
      <c r="AA78" s="57"/>
      <c r="AB78" s="57"/>
      <c r="AC78" s="57"/>
    </row>
    <row r="79" spans="1:29" s="66" customFormat="1" ht="12.75" customHeight="1" x14ac:dyDescent="0.25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4"/>
      <c r="S79" s="3"/>
      <c r="T79" s="57"/>
      <c r="U79" s="57"/>
      <c r="V79" s="57"/>
      <c r="W79" s="57"/>
      <c r="X79" s="57"/>
      <c r="Y79" s="57"/>
      <c r="Z79" s="57"/>
      <c r="AA79" s="57"/>
      <c r="AB79" s="57"/>
      <c r="AC79" s="57"/>
    </row>
    <row r="80" spans="1:29" s="66" customFormat="1" ht="12.75" customHeight="1" x14ac:dyDescent="0.25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4"/>
      <c r="S80" s="3"/>
      <c r="T80" s="57"/>
      <c r="U80" s="57"/>
      <c r="V80" s="57"/>
      <c r="W80" s="57"/>
      <c r="X80" s="57"/>
      <c r="Y80" s="57"/>
      <c r="Z80" s="57"/>
      <c r="AA80" s="57"/>
      <c r="AB80" s="57"/>
      <c r="AC80" s="57"/>
    </row>
    <row r="81" spans="1:29" s="66" customFormat="1" ht="12.75" customHeight="1" x14ac:dyDescent="0.25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4"/>
      <c r="S81" s="3"/>
      <c r="T81" s="57"/>
      <c r="U81" s="57"/>
      <c r="V81" s="57"/>
      <c r="W81" s="57"/>
      <c r="X81" s="57"/>
      <c r="Y81" s="57"/>
      <c r="Z81" s="57"/>
      <c r="AA81" s="57"/>
      <c r="AB81" s="57"/>
      <c r="AC81" s="57"/>
    </row>
    <row r="82" spans="1:29" s="66" customFormat="1" ht="12.75" customHeight="1" x14ac:dyDescent="0.25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4"/>
      <c r="S82" s="3"/>
      <c r="T82" s="57"/>
      <c r="U82" s="57"/>
      <c r="V82" s="57"/>
      <c r="W82" s="57"/>
      <c r="X82" s="57"/>
      <c r="Y82" s="57"/>
      <c r="Z82" s="57"/>
      <c r="AA82" s="57"/>
      <c r="AB82" s="57"/>
      <c r="AC82" s="57"/>
    </row>
    <row r="83" spans="1:29" s="66" customFormat="1" ht="12.75" customHeight="1" x14ac:dyDescent="0.25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4"/>
      <c r="S83" s="3"/>
      <c r="T83" s="57"/>
      <c r="U83" s="57"/>
      <c r="V83" s="57"/>
      <c r="W83" s="57"/>
      <c r="X83" s="57"/>
      <c r="Y83" s="57"/>
      <c r="Z83" s="57"/>
      <c r="AA83" s="57"/>
      <c r="AB83" s="57"/>
      <c r="AC83" s="57"/>
    </row>
    <row r="84" spans="1:29" s="66" customFormat="1" ht="12.75" customHeight="1" x14ac:dyDescent="0.25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4"/>
      <c r="S84" s="3"/>
      <c r="T84" s="57"/>
      <c r="U84" s="57"/>
      <c r="V84" s="57"/>
      <c r="W84" s="57"/>
      <c r="X84" s="57"/>
      <c r="Y84" s="57"/>
      <c r="Z84" s="57"/>
      <c r="AA84" s="57"/>
      <c r="AB84" s="57"/>
      <c r="AC84" s="57"/>
    </row>
    <row r="85" spans="1:29" s="66" customFormat="1" ht="12.75" customHeight="1" x14ac:dyDescent="0.25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4"/>
      <c r="S85" s="3"/>
      <c r="T85" s="57"/>
      <c r="U85" s="57"/>
      <c r="V85" s="57"/>
      <c r="W85" s="57"/>
      <c r="X85" s="57"/>
      <c r="Y85" s="57"/>
      <c r="Z85" s="57"/>
      <c r="AA85" s="57"/>
      <c r="AB85" s="57"/>
      <c r="AC85" s="57"/>
    </row>
    <row r="86" spans="1:29" s="66" customFormat="1" ht="12.75" customHeight="1" x14ac:dyDescent="0.25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4"/>
      <c r="S86" s="3"/>
      <c r="T86" s="57"/>
      <c r="U86" s="57"/>
      <c r="V86" s="57"/>
      <c r="W86" s="57"/>
      <c r="X86" s="57"/>
      <c r="Y86" s="57"/>
      <c r="Z86" s="57"/>
      <c r="AA86" s="57"/>
      <c r="AB86" s="57"/>
      <c r="AC86" s="57"/>
    </row>
    <row r="87" spans="1:29" s="66" customFormat="1" ht="12.75" customHeight="1" x14ac:dyDescent="0.25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4"/>
      <c r="S87" s="3"/>
      <c r="T87" s="57"/>
      <c r="U87" s="57"/>
      <c r="V87" s="57"/>
      <c r="W87" s="57"/>
      <c r="X87" s="57"/>
      <c r="Y87" s="57"/>
      <c r="Z87" s="57"/>
      <c r="AA87" s="57"/>
      <c r="AB87" s="57"/>
      <c r="AC87" s="57"/>
    </row>
    <row r="88" spans="1:29" s="66" customFormat="1" ht="12.75" customHeight="1" x14ac:dyDescent="0.25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4"/>
      <c r="S88" s="3"/>
      <c r="T88" s="57"/>
      <c r="U88" s="57"/>
      <c r="V88" s="57"/>
      <c r="W88" s="57"/>
      <c r="X88" s="57"/>
      <c r="Y88" s="57"/>
      <c r="Z88" s="57"/>
      <c r="AA88" s="57"/>
      <c r="AB88" s="57"/>
      <c r="AC88" s="57"/>
    </row>
    <row r="89" spans="1:29" s="66" customFormat="1" ht="12.75" customHeight="1" x14ac:dyDescent="0.25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4"/>
      <c r="S89" s="3"/>
      <c r="T89" s="57"/>
      <c r="U89" s="57"/>
      <c r="V89" s="57"/>
      <c r="W89" s="57"/>
      <c r="X89" s="57"/>
      <c r="Y89" s="57"/>
      <c r="Z89" s="57"/>
      <c r="AA89" s="57"/>
      <c r="AB89" s="57"/>
      <c r="AC89" s="57"/>
    </row>
    <row r="90" spans="1:29" s="66" customFormat="1" ht="12.75" customHeight="1" x14ac:dyDescent="0.25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4"/>
      <c r="S90" s="3"/>
      <c r="T90" s="57"/>
      <c r="U90" s="57"/>
      <c r="V90" s="57"/>
      <c r="W90" s="57"/>
      <c r="X90" s="57"/>
      <c r="Y90" s="57"/>
      <c r="Z90" s="57"/>
      <c r="AA90" s="57"/>
      <c r="AB90" s="57"/>
      <c r="AC90" s="57"/>
    </row>
    <row r="91" spans="1:29" s="66" customFormat="1" ht="12.75" customHeight="1" x14ac:dyDescent="0.25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4"/>
      <c r="S91" s="3"/>
      <c r="T91" s="57"/>
      <c r="U91" s="57"/>
      <c r="V91" s="57"/>
      <c r="W91" s="57"/>
      <c r="X91" s="57"/>
      <c r="Y91" s="57"/>
      <c r="Z91" s="57"/>
      <c r="AA91" s="57"/>
      <c r="AB91" s="57"/>
      <c r="AC91" s="57"/>
    </row>
    <row r="92" spans="1:29" s="66" customFormat="1" ht="12.75" customHeight="1" x14ac:dyDescent="0.25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4"/>
      <c r="S92" s="3"/>
      <c r="T92" s="57"/>
      <c r="U92" s="57"/>
      <c r="V92" s="57"/>
      <c r="W92" s="57"/>
      <c r="X92" s="57"/>
      <c r="Y92" s="57"/>
      <c r="Z92" s="57"/>
      <c r="AA92" s="57"/>
      <c r="AB92" s="57"/>
      <c r="AC92" s="57"/>
    </row>
    <row r="93" spans="1:29" s="66" customFormat="1" ht="12.75" customHeight="1" x14ac:dyDescent="0.25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4"/>
      <c r="S93" s="3"/>
      <c r="T93" s="57"/>
      <c r="U93" s="57"/>
      <c r="V93" s="57"/>
      <c r="W93" s="57"/>
      <c r="X93" s="57"/>
      <c r="Y93" s="57"/>
      <c r="Z93" s="57"/>
      <c r="AA93" s="57"/>
      <c r="AB93" s="57"/>
      <c r="AC93" s="57"/>
    </row>
    <row r="94" spans="1:29" s="66" customFormat="1" ht="12.75" customHeight="1" x14ac:dyDescent="0.25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4"/>
      <c r="S94" s="3"/>
      <c r="T94" s="57"/>
      <c r="U94" s="57"/>
      <c r="V94" s="57"/>
      <c r="W94" s="57"/>
      <c r="X94" s="57"/>
      <c r="Y94" s="57"/>
      <c r="Z94" s="57"/>
      <c r="AA94" s="57"/>
      <c r="AB94" s="57"/>
      <c r="AC94" s="57"/>
    </row>
    <row r="95" spans="1:29" s="66" customFormat="1" ht="12.75" customHeight="1" x14ac:dyDescent="0.25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4"/>
      <c r="S95" s="3"/>
      <c r="T95" s="57"/>
      <c r="U95" s="57"/>
      <c r="V95" s="57"/>
      <c r="W95" s="57"/>
      <c r="X95" s="57"/>
      <c r="Y95" s="57"/>
      <c r="Z95" s="57"/>
      <c r="AA95" s="57"/>
      <c r="AB95" s="57"/>
      <c r="AC95" s="57"/>
    </row>
    <row r="96" spans="1:29" s="66" customFormat="1" ht="12.75" customHeight="1" x14ac:dyDescent="0.25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4"/>
      <c r="S96" s="3"/>
      <c r="T96" s="57"/>
      <c r="U96" s="57"/>
      <c r="V96" s="57"/>
      <c r="W96" s="57"/>
      <c r="X96" s="57"/>
      <c r="Y96" s="57"/>
      <c r="Z96" s="57"/>
      <c r="AA96" s="57"/>
      <c r="AB96" s="57"/>
      <c r="AC96" s="57"/>
    </row>
    <row r="97" spans="1:29" s="66" customFormat="1" ht="12.75" customHeight="1" x14ac:dyDescent="0.25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4"/>
      <c r="S97" s="3"/>
      <c r="T97" s="57"/>
      <c r="U97" s="57"/>
      <c r="V97" s="57"/>
      <c r="W97" s="57"/>
      <c r="X97" s="57"/>
      <c r="Y97" s="57"/>
      <c r="Z97" s="57"/>
      <c r="AA97" s="57"/>
      <c r="AB97" s="57"/>
      <c r="AC97" s="57"/>
    </row>
    <row r="98" spans="1:29" s="66" customFormat="1" ht="12.75" customHeight="1" x14ac:dyDescent="0.25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4"/>
      <c r="S98" s="3"/>
      <c r="T98" s="57"/>
      <c r="U98" s="57"/>
      <c r="V98" s="57"/>
      <c r="W98" s="57"/>
      <c r="X98" s="57"/>
      <c r="Y98" s="57"/>
      <c r="Z98" s="57"/>
      <c r="AA98" s="57"/>
      <c r="AB98" s="57"/>
      <c r="AC98" s="57"/>
    </row>
    <row r="99" spans="1:29" s="66" customFormat="1" ht="12.75" customHeight="1" x14ac:dyDescent="0.25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4"/>
      <c r="S99" s="3"/>
      <c r="T99" s="57"/>
      <c r="U99" s="57"/>
      <c r="V99" s="57"/>
      <c r="W99" s="57"/>
      <c r="X99" s="57"/>
      <c r="Y99" s="57"/>
      <c r="Z99" s="57"/>
      <c r="AA99" s="57"/>
      <c r="AB99" s="57"/>
      <c r="AC99" s="57"/>
    </row>
    <row r="100" spans="1:29" s="66" customFormat="1" ht="12.75" customHeight="1" x14ac:dyDescent="0.25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4"/>
      <c r="S100" s="3"/>
      <c r="T100" s="57"/>
      <c r="U100" s="57"/>
      <c r="V100" s="57"/>
      <c r="W100" s="57"/>
      <c r="X100" s="57"/>
      <c r="Y100" s="57"/>
      <c r="Z100" s="57"/>
      <c r="AA100" s="57"/>
      <c r="AB100" s="57"/>
      <c r="AC100" s="57"/>
    </row>
    <row r="101" spans="1:29" s="66" customFormat="1" ht="12.75" customHeight="1" x14ac:dyDescent="0.25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4"/>
      <c r="S101" s="3"/>
      <c r="T101" s="57"/>
      <c r="U101" s="57"/>
      <c r="V101" s="57"/>
      <c r="W101" s="57"/>
      <c r="X101" s="57"/>
      <c r="Y101" s="57"/>
      <c r="Z101" s="57"/>
      <c r="AA101" s="57"/>
      <c r="AB101" s="57"/>
      <c r="AC101" s="57"/>
    </row>
    <row r="102" spans="1:29" s="66" customFormat="1" ht="12.75" customHeight="1" x14ac:dyDescent="0.25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4"/>
      <c r="S102" s="3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</row>
    <row r="103" spans="1:29" s="66" customFormat="1" ht="12.75" customHeight="1" x14ac:dyDescent="0.25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4"/>
      <c r="S103" s="3"/>
      <c r="T103" s="57"/>
      <c r="U103" s="57"/>
      <c r="V103" s="57"/>
      <c r="W103" s="57"/>
      <c r="X103" s="57"/>
      <c r="Y103" s="57"/>
      <c r="Z103" s="57"/>
      <c r="AA103" s="57"/>
      <c r="AB103" s="57"/>
      <c r="AC103" s="57"/>
    </row>
    <row r="104" spans="1:29" s="66" customFormat="1" ht="12.75" customHeight="1" x14ac:dyDescent="0.25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4"/>
      <c r="S104" s="3"/>
      <c r="T104" s="57"/>
      <c r="U104" s="57"/>
      <c r="V104" s="57"/>
      <c r="W104" s="57"/>
      <c r="X104" s="57"/>
      <c r="Y104" s="57"/>
      <c r="Z104" s="57"/>
      <c r="AA104" s="57"/>
      <c r="AB104" s="57"/>
      <c r="AC104" s="57"/>
    </row>
    <row r="105" spans="1:29" s="66" customFormat="1" ht="12.75" customHeight="1" x14ac:dyDescent="0.25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4"/>
      <c r="S105" s="3"/>
      <c r="T105" s="57"/>
      <c r="U105" s="57"/>
      <c r="V105" s="57"/>
      <c r="W105" s="57"/>
      <c r="X105" s="57"/>
      <c r="Y105" s="57"/>
      <c r="Z105" s="57"/>
      <c r="AA105" s="57"/>
      <c r="AB105" s="57"/>
      <c r="AC105" s="57"/>
    </row>
    <row r="106" spans="1:29" s="66" customFormat="1" ht="12.75" customHeight="1" x14ac:dyDescent="0.25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4"/>
      <c r="S106" s="3"/>
      <c r="T106" s="57"/>
      <c r="U106" s="57"/>
      <c r="V106" s="57"/>
      <c r="W106" s="57"/>
      <c r="X106" s="57"/>
      <c r="Y106" s="57"/>
      <c r="Z106" s="57"/>
      <c r="AA106" s="57"/>
      <c r="AB106" s="57"/>
      <c r="AC106" s="57"/>
    </row>
    <row r="107" spans="1:29" s="66" customFormat="1" ht="12.75" customHeight="1" x14ac:dyDescent="0.25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4"/>
      <c r="S107" s="3"/>
      <c r="T107" s="57"/>
      <c r="U107" s="57"/>
      <c r="V107" s="57"/>
      <c r="W107" s="57"/>
      <c r="X107" s="57"/>
      <c r="Y107" s="57"/>
      <c r="Z107" s="57"/>
      <c r="AA107" s="57"/>
      <c r="AB107" s="57"/>
      <c r="AC107" s="57"/>
    </row>
    <row r="108" spans="1:29" s="66" customFormat="1" ht="12.75" customHeight="1" x14ac:dyDescent="0.25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4"/>
      <c r="S108" s="3"/>
      <c r="T108" s="57"/>
      <c r="U108" s="57"/>
      <c r="V108" s="57"/>
      <c r="W108" s="57"/>
      <c r="X108" s="57"/>
      <c r="Y108" s="57"/>
      <c r="Z108" s="57"/>
      <c r="AA108" s="57"/>
      <c r="AB108" s="57"/>
      <c r="AC108" s="57"/>
    </row>
    <row r="109" spans="1:29" s="66" customFormat="1" ht="12.75" customHeight="1" x14ac:dyDescent="0.25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4"/>
      <c r="S109" s="3"/>
      <c r="T109" s="57"/>
      <c r="U109" s="57"/>
      <c r="V109" s="57"/>
      <c r="W109" s="57"/>
      <c r="X109" s="57"/>
      <c r="Y109" s="57"/>
      <c r="Z109" s="57"/>
      <c r="AA109" s="57"/>
      <c r="AB109" s="57"/>
      <c r="AC109" s="57"/>
    </row>
    <row r="110" spans="1:29" s="66" customFormat="1" ht="12.75" customHeight="1" x14ac:dyDescent="0.25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4"/>
      <c r="S110" s="3"/>
      <c r="T110" s="57"/>
      <c r="U110" s="57"/>
      <c r="V110" s="57"/>
      <c r="W110" s="57"/>
      <c r="X110" s="57"/>
      <c r="Y110" s="57"/>
      <c r="Z110" s="57"/>
      <c r="AA110" s="57"/>
      <c r="AB110" s="57"/>
      <c r="AC110" s="57"/>
    </row>
  </sheetData>
  <mergeCells count="1">
    <mergeCell ref="B1:J1"/>
  </mergeCells>
  <printOptions horizontalCentered="1" verticalCentered="1"/>
  <pageMargins left="0" right="0" top="0.19685039370078702" bottom="0.19685039370078755" header="0.19685039370078702" footer="0.15748031496063003"/>
  <pageSetup paperSize="0" scale="75" fitToWidth="0" fitToHeight="0" pageOrder="overThenDown" orientation="landscape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B0C13-DCE3-41A7-AD9E-EA0E6A4B7403}">
  <dimension ref="A1:AD26"/>
  <sheetViews>
    <sheetView workbookViewId="0">
      <selection activeCell="Q20" sqref="Q20"/>
    </sheetView>
  </sheetViews>
  <sheetFormatPr baseColWidth="10" defaultColWidth="10" defaultRowHeight="12.75" customHeight="1" x14ac:dyDescent="0.25"/>
  <cols>
    <col min="1" max="1" width="14.83203125" style="1" customWidth="1"/>
    <col min="2" max="2" width="8.58203125" style="3" customWidth="1"/>
    <col min="3" max="3" width="10.83203125" style="3" customWidth="1"/>
    <col min="4" max="4" width="8.5" style="3" customWidth="1"/>
    <col min="5" max="5" width="9.08203125" style="3" customWidth="1"/>
    <col min="6" max="6" width="8.25" style="3" customWidth="1"/>
    <col min="7" max="7" width="8.33203125" style="3" customWidth="1"/>
    <col min="8" max="8" width="9.58203125" style="3" customWidth="1"/>
    <col min="9" max="9" width="6.75" style="3" customWidth="1"/>
    <col min="10" max="10" width="8.25" style="3" customWidth="1"/>
    <col min="11" max="11" width="8.33203125" style="3" customWidth="1"/>
    <col min="12" max="12" width="11.5" style="3" customWidth="1"/>
    <col min="13" max="13" width="7.08203125" style="66" customWidth="1"/>
    <col min="14" max="14" width="16.58203125" style="4" customWidth="1"/>
    <col min="15" max="15" width="7.25" style="66" customWidth="1"/>
    <col min="16" max="16" width="10" style="57" customWidth="1"/>
    <col min="17" max="16384" width="10" style="57"/>
  </cols>
  <sheetData>
    <row r="1" spans="1:30" ht="20.149999999999999" customHeight="1" x14ac:dyDescent="0.25">
      <c r="B1" s="100" t="s">
        <v>78</v>
      </c>
      <c r="C1" s="100"/>
      <c r="D1" s="100"/>
      <c r="E1" s="100"/>
      <c r="F1" s="100"/>
      <c r="G1" s="100"/>
      <c r="H1" s="100"/>
      <c r="I1" s="100"/>
      <c r="J1" s="100"/>
      <c r="K1" s="2"/>
      <c r="M1" s="3"/>
      <c r="N1" s="3"/>
      <c r="O1" s="3"/>
      <c r="P1" s="4"/>
      <c r="Q1" s="3"/>
      <c r="Y1" s="65"/>
      <c r="Z1" s="66"/>
      <c r="AA1" s="66"/>
      <c r="AB1" s="66"/>
      <c r="AC1" s="66"/>
      <c r="AD1" s="66"/>
    </row>
    <row r="2" spans="1:30" ht="11.15" customHeight="1" x14ac:dyDescent="0.25">
      <c r="M2" s="57"/>
      <c r="O2" s="57"/>
    </row>
    <row r="3" spans="1:30" ht="12.75" customHeight="1" x14ac:dyDescent="0.25">
      <c r="A3" s="5"/>
      <c r="B3" s="101" t="s">
        <v>21</v>
      </c>
      <c r="C3" s="102" t="s">
        <v>64</v>
      </c>
      <c r="D3" s="102" t="s">
        <v>65</v>
      </c>
      <c r="E3" s="101" t="s">
        <v>24</v>
      </c>
      <c r="F3" s="101" t="s">
        <v>66</v>
      </c>
      <c r="G3" s="102" t="s">
        <v>67</v>
      </c>
      <c r="H3" s="101" t="s">
        <v>68</v>
      </c>
      <c r="I3" s="101" t="s">
        <v>28</v>
      </c>
      <c r="J3" s="101" t="s">
        <v>69</v>
      </c>
      <c r="K3" s="102" t="s">
        <v>70</v>
      </c>
      <c r="L3" s="99" t="s">
        <v>84</v>
      </c>
      <c r="M3" s="69"/>
      <c r="N3" s="103" t="s">
        <v>72</v>
      </c>
      <c r="O3" s="57"/>
    </row>
    <row r="4" spans="1:30" ht="13.5" customHeight="1" x14ac:dyDescent="0.25">
      <c r="A4" s="8"/>
      <c r="B4" s="101"/>
      <c r="C4" s="102"/>
      <c r="D4" s="102"/>
      <c r="E4" s="101"/>
      <c r="F4" s="101"/>
      <c r="G4" s="102"/>
      <c r="H4" s="101"/>
      <c r="I4" s="101"/>
      <c r="J4" s="101"/>
      <c r="K4" s="102"/>
      <c r="L4" s="99"/>
      <c r="M4" s="69"/>
      <c r="N4" s="103"/>
      <c r="O4" s="57"/>
    </row>
    <row r="5" spans="1:30" ht="13.5" customHeight="1" x14ac:dyDescent="0.25">
      <c r="A5" s="11"/>
      <c r="B5" s="101"/>
      <c r="C5" s="102"/>
      <c r="D5" s="102"/>
      <c r="E5" s="101"/>
      <c r="F5" s="101"/>
      <c r="G5" s="102"/>
      <c r="H5" s="101"/>
      <c r="I5" s="101"/>
      <c r="J5" s="101"/>
      <c r="K5" s="102"/>
      <c r="L5" s="99"/>
      <c r="M5" s="69"/>
      <c r="N5" s="103"/>
      <c r="O5" s="57"/>
    </row>
    <row r="6" spans="1:30" ht="13.5" customHeight="1" x14ac:dyDescent="0.25">
      <c r="A6" s="28" t="s">
        <v>1</v>
      </c>
      <c r="B6" s="29" t="e">
        <v>#REF!</v>
      </c>
      <c r="C6" s="29">
        <f>C20/(MAE_2024!R20+Hors_MAE_2024!L20)</f>
        <v>2.4866961754612819E-4</v>
      </c>
      <c r="D6" s="29">
        <f>D20/(MAE_2024!R20+Hors_MAE_2024!L20)</f>
        <v>5.8022910760763248E-5</v>
      </c>
      <c r="E6" s="29">
        <f>E20/(MAE_2024!R20+Hors_MAE_2024!L20)</f>
        <v>5.8022910760763248E-5</v>
      </c>
      <c r="F6" s="29">
        <f>F20/(MAE_2024!R20+Hors_MAE_2024!L20)</f>
        <v>1.1273022662091146E-3</v>
      </c>
      <c r="G6" s="29">
        <f>G20/(MAE_2024!R20+Hors_MAE_2024!L20)</f>
        <v>5.0562822234379403E-4</v>
      </c>
      <c r="H6" s="29">
        <f>H20/(MAE_2024!R20+Hors_MAE_2024!L20)</f>
        <v>3.8046451484557617E-3</v>
      </c>
      <c r="I6" s="29">
        <f>I20/(MAE_2024!R20+Hors_MAE_2024!L20)</f>
        <v>2.0225128893751761E-3</v>
      </c>
      <c r="J6" s="29">
        <f>J20/(MAE_2024!R20+Hors_MAE_2024!L20)</f>
        <v>0.11087349347656704</v>
      </c>
      <c r="K6" s="29">
        <f>K20/(MAE_2024!R20+Hors_MAE_2024!L20)</f>
        <v>7.1227267452462661E-2</v>
      </c>
      <c r="L6" s="30">
        <f>L20/(MAE_2024!R20+Hors_MAE_2024!L20)</f>
        <v>0.3128015119112747</v>
      </c>
      <c r="M6" s="69"/>
      <c r="N6" s="31"/>
      <c r="O6" s="57"/>
    </row>
    <row r="7" spans="1:30" ht="17.25" customHeight="1" x14ac:dyDescent="0.25">
      <c r="A7" s="5" t="s">
        <v>50</v>
      </c>
      <c r="B7" s="32">
        <f>132+734+71+133+67+159</f>
        <v>1296</v>
      </c>
      <c r="C7" s="32">
        <v>3</v>
      </c>
      <c r="D7" s="32"/>
      <c r="E7" s="32"/>
      <c r="F7" s="32">
        <v>7</v>
      </c>
      <c r="G7" s="32">
        <v>3</v>
      </c>
      <c r="H7" s="32">
        <f>50+7</f>
        <v>57</v>
      </c>
      <c r="I7" s="32">
        <f>17+3+9</f>
        <v>29</v>
      </c>
      <c r="J7" s="32">
        <f>1160+196+5</f>
        <v>1361</v>
      </c>
      <c r="K7" s="32">
        <f>413+371</f>
        <v>784</v>
      </c>
      <c r="L7" s="33">
        <f t="shared" ref="L7:L18" si="0">SUM(B7:K7)</f>
        <v>3540</v>
      </c>
      <c r="M7" s="69"/>
      <c r="N7" s="34">
        <v>2961.5</v>
      </c>
      <c r="O7" s="57"/>
    </row>
    <row r="8" spans="1:30" ht="12.75" customHeight="1" x14ac:dyDescent="0.25">
      <c r="A8" s="15" t="s">
        <v>51</v>
      </c>
      <c r="B8" s="35">
        <f>122+700+63+134+57+154+1</f>
        <v>1231</v>
      </c>
      <c r="C8" s="35">
        <v>4</v>
      </c>
      <c r="D8" s="35"/>
      <c r="E8" s="35">
        <v>1</v>
      </c>
      <c r="F8" s="35">
        <v>9</v>
      </c>
      <c r="G8" s="35">
        <v>6</v>
      </c>
      <c r="H8" s="35">
        <f>55+10</f>
        <v>65</v>
      </c>
      <c r="I8" s="35">
        <f>18+2+8</f>
        <v>28</v>
      </c>
      <c r="J8" s="35">
        <f>1137+152+10</f>
        <v>1299</v>
      </c>
      <c r="K8" s="35">
        <f>445+360</f>
        <v>805</v>
      </c>
      <c r="L8" s="33">
        <f t="shared" si="0"/>
        <v>3448</v>
      </c>
      <c r="M8" s="69"/>
      <c r="N8" s="36">
        <v>4742.3599999999997</v>
      </c>
      <c r="O8" s="57"/>
    </row>
    <row r="9" spans="1:30" s="66" customFormat="1" ht="12.75" customHeight="1" x14ac:dyDescent="0.25">
      <c r="A9" s="15" t="s">
        <v>52</v>
      </c>
      <c r="B9" s="35">
        <f>138+597+60+126+69+117+1</f>
        <v>1108</v>
      </c>
      <c r="C9" s="35">
        <v>4</v>
      </c>
      <c r="D9" s="35"/>
      <c r="E9" s="35"/>
      <c r="F9" s="35">
        <v>13</v>
      </c>
      <c r="G9" s="35">
        <v>2</v>
      </c>
      <c r="H9" s="35">
        <f>47+10</f>
        <v>57</v>
      </c>
      <c r="I9" s="35">
        <f>19+2+8</f>
        <v>29</v>
      </c>
      <c r="J9" s="35">
        <f>1011+177+6</f>
        <v>1194</v>
      </c>
      <c r="K9" s="35">
        <f>368+305</f>
        <v>673</v>
      </c>
      <c r="L9" s="33">
        <f t="shared" si="0"/>
        <v>3080</v>
      </c>
      <c r="M9" s="69"/>
      <c r="N9" s="36">
        <v>3013.89</v>
      </c>
      <c r="O9" s="57"/>
    </row>
    <row r="10" spans="1:30" s="66" customFormat="1" ht="12.75" customHeight="1" x14ac:dyDescent="0.25">
      <c r="A10" s="15" t="s">
        <v>53</v>
      </c>
      <c r="B10" s="35">
        <f>149+789+58+119+53+130</f>
        <v>1298</v>
      </c>
      <c r="C10" s="35">
        <v>4</v>
      </c>
      <c r="D10" s="35"/>
      <c r="E10" s="35">
        <v>1</v>
      </c>
      <c r="F10" s="35">
        <v>16</v>
      </c>
      <c r="G10" s="35">
        <v>4</v>
      </c>
      <c r="H10" s="35">
        <f>52+7</f>
        <v>59</v>
      </c>
      <c r="I10" s="35">
        <f>19+2+11</f>
        <v>32</v>
      </c>
      <c r="J10" s="35">
        <f>1063+177+3</f>
        <v>1243</v>
      </c>
      <c r="K10" s="35">
        <f>403+328</f>
        <v>731</v>
      </c>
      <c r="L10" s="33">
        <f t="shared" si="0"/>
        <v>3388</v>
      </c>
      <c r="M10" s="69"/>
      <c r="N10" s="36">
        <v>3987.08</v>
      </c>
      <c r="O10" s="57"/>
    </row>
    <row r="11" spans="1:30" s="66" customFormat="1" ht="12.75" customHeight="1" x14ac:dyDescent="0.25">
      <c r="A11" s="15" t="s">
        <v>54</v>
      </c>
      <c r="B11" s="35">
        <f>136+741+56+116+41+111</f>
        <v>1201</v>
      </c>
      <c r="C11" s="35">
        <v>2</v>
      </c>
      <c r="D11" s="35"/>
      <c r="E11" s="35"/>
      <c r="F11" s="35">
        <v>11</v>
      </c>
      <c r="G11" s="35">
        <v>6</v>
      </c>
      <c r="H11" s="35">
        <f>48+6</f>
        <v>54</v>
      </c>
      <c r="I11" s="35">
        <f>15+3+9</f>
        <v>27</v>
      </c>
      <c r="J11" s="35">
        <f>924+164+4</f>
        <v>1092</v>
      </c>
      <c r="K11" s="35">
        <f>320+301</f>
        <v>621</v>
      </c>
      <c r="L11" s="33">
        <f t="shared" si="0"/>
        <v>3014</v>
      </c>
      <c r="M11" s="69"/>
      <c r="N11" s="36">
        <v>1218.9000000000001</v>
      </c>
      <c r="O11" s="57"/>
    </row>
    <row r="12" spans="1:30" s="66" customFormat="1" ht="12.75" customHeight="1" x14ac:dyDescent="0.25">
      <c r="A12" s="15" t="s">
        <v>55</v>
      </c>
      <c r="B12" s="35">
        <f>129+733+60+104+49+98</f>
        <v>1173</v>
      </c>
      <c r="C12" s="35">
        <v>1</v>
      </c>
      <c r="D12" s="35"/>
      <c r="E12" s="35"/>
      <c r="F12" s="35">
        <v>14</v>
      </c>
      <c r="G12" s="35">
        <v>4</v>
      </c>
      <c r="H12" s="35">
        <f>30+11</f>
        <v>41</v>
      </c>
      <c r="I12" s="35">
        <f>11+1+8</f>
        <v>20</v>
      </c>
      <c r="J12" s="35">
        <f>924+149+1</f>
        <v>1074</v>
      </c>
      <c r="K12" s="35">
        <f>375+351</f>
        <v>726</v>
      </c>
      <c r="L12" s="33">
        <f t="shared" si="0"/>
        <v>3053</v>
      </c>
      <c r="M12" s="69"/>
      <c r="N12" s="36">
        <v>2733.27</v>
      </c>
      <c r="O12" s="57"/>
    </row>
    <row r="13" spans="1:30" s="66" customFormat="1" ht="12.75" customHeight="1" x14ac:dyDescent="0.25">
      <c r="A13" s="15" t="s">
        <v>56</v>
      </c>
      <c r="B13" s="35">
        <f>123+728+55+114+41+137+2</f>
        <v>1200</v>
      </c>
      <c r="C13" s="35"/>
      <c r="D13" s="35"/>
      <c r="E13" s="35"/>
      <c r="F13" s="35">
        <v>4</v>
      </c>
      <c r="G13" s="35">
        <v>10</v>
      </c>
      <c r="H13" s="35">
        <f>51+9</f>
        <v>60</v>
      </c>
      <c r="I13" s="35">
        <f>17+1+6</f>
        <v>24</v>
      </c>
      <c r="J13" s="35">
        <f>817+153+3</f>
        <v>973</v>
      </c>
      <c r="K13" s="35">
        <f>419+355</f>
        <v>774</v>
      </c>
      <c r="L13" s="33">
        <f t="shared" si="0"/>
        <v>3045</v>
      </c>
      <c r="M13" s="69"/>
      <c r="N13" s="36">
        <v>3832.88</v>
      </c>
      <c r="O13" s="57"/>
    </row>
    <row r="14" spans="1:30" s="66" customFormat="1" ht="12.75" customHeight="1" x14ac:dyDescent="0.25">
      <c r="A14" s="15" t="s">
        <v>57</v>
      </c>
      <c r="B14" s="35">
        <f>68+571+57+83+38+73+1</f>
        <v>891</v>
      </c>
      <c r="C14" s="35">
        <v>2</v>
      </c>
      <c r="D14" s="35"/>
      <c r="E14" s="35"/>
      <c r="F14" s="35">
        <v>5</v>
      </c>
      <c r="G14" s="35">
        <v>9</v>
      </c>
      <c r="H14" s="35">
        <f>1+7</f>
        <v>8</v>
      </c>
      <c r="I14" s="35">
        <f>18+3</f>
        <v>21</v>
      </c>
      <c r="J14" s="35">
        <f>517+158+1</f>
        <v>676</v>
      </c>
      <c r="K14" s="35">
        <f>302+302</f>
        <v>604</v>
      </c>
      <c r="L14" s="33">
        <f t="shared" si="0"/>
        <v>2216</v>
      </c>
      <c r="M14" s="69"/>
      <c r="N14" s="36">
        <v>1950.09</v>
      </c>
      <c r="O14" s="57"/>
    </row>
    <row r="15" spans="1:30" s="66" customFormat="1" ht="12.75" customHeight="1" x14ac:dyDescent="0.25">
      <c r="A15" s="15" t="s">
        <v>58</v>
      </c>
      <c r="B15" s="35">
        <f>92+954+119+151+59+127</f>
        <v>1502</v>
      </c>
      <c r="C15" s="35">
        <v>2</v>
      </c>
      <c r="D15" s="35"/>
      <c r="E15" s="35"/>
      <c r="F15" s="35">
        <v>13</v>
      </c>
      <c r="G15" s="35">
        <v>2</v>
      </c>
      <c r="H15" s="35">
        <f>1+4</f>
        <v>5</v>
      </c>
      <c r="I15" s="35">
        <f>2+8+1</f>
        <v>11</v>
      </c>
      <c r="J15" s="35">
        <f>1030+237+5</f>
        <v>1272</v>
      </c>
      <c r="K15" s="35">
        <f>419+327</f>
        <v>746</v>
      </c>
      <c r="L15" s="33">
        <f t="shared" si="0"/>
        <v>3553</v>
      </c>
      <c r="M15" s="69"/>
      <c r="N15" s="36">
        <v>4305.59</v>
      </c>
      <c r="O15" s="57"/>
    </row>
    <row r="16" spans="1:30" s="66" customFormat="1" ht="12.75" customHeight="1" x14ac:dyDescent="0.25">
      <c r="A16" s="15" t="s">
        <v>59</v>
      </c>
      <c r="B16" s="35">
        <f>32+1025+118+131+70+121+1</f>
        <v>1498</v>
      </c>
      <c r="C16" s="35">
        <v>2</v>
      </c>
      <c r="D16" s="35">
        <v>2</v>
      </c>
      <c r="E16" s="35"/>
      <c r="F16" s="35">
        <v>16</v>
      </c>
      <c r="G16" s="35">
        <v>10</v>
      </c>
      <c r="H16" s="35">
        <f>10+10</f>
        <v>20</v>
      </c>
      <c r="I16" s="35">
        <f>1+3</f>
        <v>4</v>
      </c>
      <c r="J16" s="35">
        <f>992+201+7</f>
        <v>1200</v>
      </c>
      <c r="K16" s="35">
        <f>432+2+306</f>
        <v>740</v>
      </c>
      <c r="L16" s="33">
        <f t="shared" si="0"/>
        <v>3492</v>
      </c>
      <c r="M16" s="69"/>
      <c r="N16" s="36">
        <v>4726.63</v>
      </c>
      <c r="O16" s="57"/>
    </row>
    <row r="17" spans="1:15" s="66" customFormat="1" ht="12.75" customHeight="1" x14ac:dyDescent="0.25">
      <c r="A17" s="15" t="s">
        <v>60</v>
      </c>
      <c r="B17" s="35">
        <f>22+846+90+134+61+110</f>
        <v>1263</v>
      </c>
      <c r="C17" s="35">
        <v>3</v>
      </c>
      <c r="D17" s="35">
        <v>4</v>
      </c>
      <c r="E17" s="35">
        <v>4</v>
      </c>
      <c r="F17" s="35">
        <v>15</v>
      </c>
      <c r="G17" s="35">
        <v>3</v>
      </c>
      <c r="H17" s="35">
        <f>12+10</f>
        <v>22</v>
      </c>
      <c r="I17" s="35">
        <f>2+6</f>
        <v>8</v>
      </c>
      <c r="J17" s="35">
        <f>887+176+9</f>
        <v>1072</v>
      </c>
      <c r="K17" s="35">
        <f>382+327</f>
        <v>709</v>
      </c>
      <c r="L17" s="33">
        <f t="shared" si="0"/>
        <v>3103</v>
      </c>
      <c r="M17" s="69"/>
      <c r="N17" s="36">
        <v>2197.11</v>
      </c>
      <c r="O17" s="57"/>
    </row>
    <row r="18" spans="1:15" s="66" customFormat="1" ht="12.75" customHeight="1" x14ac:dyDescent="0.25">
      <c r="A18" s="15" t="s">
        <v>61</v>
      </c>
      <c r="B18" s="35">
        <f>21+798+80+123+45+96</f>
        <v>1163</v>
      </c>
      <c r="C18" s="35">
        <v>3</v>
      </c>
      <c r="D18" s="35">
        <v>1</v>
      </c>
      <c r="E18" s="35">
        <v>1</v>
      </c>
      <c r="F18" s="35">
        <v>13</v>
      </c>
      <c r="G18" s="35">
        <v>2</v>
      </c>
      <c r="H18" s="35">
        <f>4+7</f>
        <v>11</v>
      </c>
      <c r="I18" s="35">
        <f>2+6+3</f>
        <v>11</v>
      </c>
      <c r="J18" s="35">
        <f>764+151+5</f>
        <v>920</v>
      </c>
      <c r="K18" s="35">
        <f>344+336</f>
        <v>680</v>
      </c>
      <c r="L18" s="33">
        <f t="shared" si="0"/>
        <v>2805</v>
      </c>
      <c r="M18" s="69"/>
      <c r="N18" s="36">
        <v>2690.86</v>
      </c>
      <c r="O18" s="57"/>
    </row>
    <row r="19" spans="1:15" s="66" customFormat="1" ht="12.75" customHeight="1" x14ac:dyDescent="0.25">
      <c r="A19" s="15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9"/>
      <c r="M19" s="69"/>
      <c r="N19" s="37"/>
      <c r="O19" s="57"/>
    </row>
    <row r="20" spans="1:15" s="66" customFormat="1" ht="12.75" customHeight="1" x14ac:dyDescent="0.25">
      <c r="A20" s="16" t="s">
        <v>3</v>
      </c>
      <c r="B20" s="38">
        <f t="shared" ref="B20:L20" si="1">SUM(B7:B19)</f>
        <v>14824</v>
      </c>
      <c r="C20" s="38">
        <f t="shared" si="1"/>
        <v>30</v>
      </c>
      <c r="D20" s="38">
        <f t="shared" si="1"/>
        <v>7</v>
      </c>
      <c r="E20" s="38">
        <f t="shared" si="1"/>
        <v>7</v>
      </c>
      <c r="F20" s="38">
        <f t="shared" si="1"/>
        <v>136</v>
      </c>
      <c r="G20" s="38">
        <f t="shared" si="1"/>
        <v>61</v>
      </c>
      <c r="H20" s="38">
        <f t="shared" si="1"/>
        <v>459</v>
      </c>
      <c r="I20" s="38">
        <f t="shared" si="1"/>
        <v>244</v>
      </c>
      <c r="J20" s="38">
        <f t="shared" si="1"/>
        <v>13376</v>
      </c>
      <c r="K20" s="38">
        <f t="shared" si="1"/>
        <v>8593</v>
      </c>
      <c r="L20" s="38">
        <f t="shared" si="1"/>
        <v>37737</v>
      </c>
      <c r="M20" s="70"/>
      <c r="N20" s="39">
        <f>SUM(N7:N19)</f>
        <v>38360.160000000003</v>
      </c>
      <c r="O20" s="57"/>
    </row>
    <row r="21" spans="1:15" s="66" customFormat="1" ht="12.75" customHeight="1" x14ac:dyDescent="0.25">
      <c r="A21" s="1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57"/>
      <c r="N21" s="4"/>
      <c r="O21" s="57"/>
    </row>
    <row r="22" spans="1:15" s="66" customFormat="1" ht="12.75" customHeight="1" x14ac:dyDescent="0.25">
      <c r="A22" s="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57"/>
      <c r="N22" s="4"/>
      <c r="O22" s="57"/>
    </row>
    <row r="25" spans="1:15" ht="12.75" customHeight="1" x14ac:dyDescent="0.25">
      <c r="L25" s="40"/>
    </row>
    <row r="26" spans="1:15" ht="12.75" customHeight="1" x14ac:dyDescent="0.25">
      <c r="L26" s="41"/>
    </row>
  </sheetData>
  <mergeCells count="13">
    <mergeCell ref="K3:K5"/>
    <mergeCell ref="L3:L5"/>
    <mergeCell ref="N3:N5"/>
    <mergeCell ref="B1:J1"/>
    <mergeCell ref="B3:B5"/>
    <mergeCell ref="C3:C5"/>
    <mergeCell ref="D3:D5"/>
    <mergeCell ref="E3:E5"/>
    <mergeCell ref="F3:F5"/>
    <mergeCell ref="G3:G5"/>
    <mergeCell ref="H3:H5"/>
    <mergeCell ref="I3:I5"/>
    <mergeCell ref="J3:J5"/>
  </mergeCells>
  <printOptions horizontalCentered="1" verticalCentered="1"/>
  <pageMargins left="0" right="0" top="0.19685039370078702" bottom="0.19685039370078755" header="0.19685039370078702" footer="0.15748031496063003"/>
  <pageSetup paperSize="0" scale="75" fitToWidth="0" fitToHeight="0" pageOrder="overThenDown" orientation="landscape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45563-D8AF-4D10-94C4-4BAC82809966}">
  <dimension ref="A1:AF111"/>
  <sheetViews>
    <sheetView workbookViewId="0">
      <selection activeCell="H22" sqref="H22"/>
    </sheetView>
  </sheetViews>
  <sheetFormatPr baseColWidth="10" defaultColWidth="10" defaultRowHeight="12.75" customHeight="1" x14ac:dyDescent="0.25"/>
  <cols>
    <col min="1" max="1" width="16.33203125" style="1" customWidth="1"/>
    <col min="2" max="2" width="8.58203125" style="3" customWidth="1"/>
    <col min="3" max="3" width="6.75" style="3" customWidth="1"/>
    <col min="4" max="4" width="8.25" style="3" customWidth="1"/>
    <col min="5" max="5" width="6.75" style="3" customWidth="1"/>
    <col min="6" max="6" width="9.58203125" style="3" customWidth="1"/>
    <col min="7" max="7" width="6.75" style="3" customWidth="1"/>
    <col min="8" max="8" width="8.33203125" style="3" customWidth="1"/>
    <col min="9" max="9" width="6.75" style="3" customWidth="1"/>
    <col min="10" max="10" width="9.83203125" style="3" customWidth="1"/>
    <col min="11" max="11" width="6.75" style="3" customWidth="1"/>
    <col min="12" max="12" width="9.25" style="3" customWidth="1"/>
    <col min="13" max="13" width="6.75" style="3" customWidth="1"/>
    <col min="14" max="14" width="7.33203125" style="3" customWidth="1"/>
    <col min="15" max="15" width="6.75" style="3" customWidth="1"/>
    <col min="16" max="16" width="7" style="3" customWidth="1"/>
    <col min="17" max="17" width="6.08203125" style="3" customWidth="1"/>
    <col min="18" max="18" width="11.33203125" style="4" customWidth="1"/>
    <col min="19" max="19" width="6.83203125" style="3" customWidth="1"/>
    <col min="20" max="20" width="9.33203125" style="67" customWidth="1"/>
    <col min="21" max="21" width="8" style="67" customWidth="1"/>
    <col min="22" max="22" width="7.25" style="66" customWidth="1"/>
    <col min="23" max="23" width="8" style="67" customWidth="1"/>
    <col min="24" max="24" width="3.75" style="66" hidden="1" customWidth="1"/>
    <col min="25" max="25" width="10.25" style="66" hidden="1" customWidth="1"/>
    <col min="26" max="26" width="7.75" style="68" customWidth="1"/>
    <col min="27" max="27" width="7.83203125" style="65" customWidth="1"/>
    <col min="28" max="28" width="11" style="66" customWidth="1"/>
    <col min="29" max="29" width="7.33203125" style="66" customWidth="1"/>
    <col min="30" max="30" width="6.58203125" style="66" customWidth="1"/>
    <col min="31" max="31" width="10.58203125" style="66" customWidth="1"/>
    <col min="32" max="32" width="9.5" style="66" customWidth="1"/>
    <col min="33" max="33" width="10" style="57" customWidth="1"/>
    <col min="34" max="16384" width="10" style="57"/>
  </cols>
  <sheetData>
    <row r="1" spans="1:32" ht="20.149999999999999" customHeight="1" x14ac:dyDescent="0.25">
      <c r="B1" s="100" t="s">
        <v>80</v>
      </c>
      <c r="C1" s="100"/>
      <c r="D1" s="100"/>
      <c r="E1" s="100"/>
      <c r="F1" s="100"/>
      <c r="G1" s="100"/>
      <c r="H1" s="100"/>
      <c r="I1" s="100"/>
      <c r="J1" s="100"/>
      <c r="K1" s="2"/>
      <c r="T1" s="57"/>
      <c r="U1" s="57"/>
      <c r="V1" s="57"/>
      <c r="W1" s="57"/>
      <c r="X1" s="57"/>
      <c r="Y1" s="57"/>
      <c r="Z1" s="57"/>
    </row>
    <row r="2" spans="1:32" ht="11.15" customHeight="1" x14ac:dyDescent="0.25">
      <c r="T2" s="57"/>
      <c r="U2" s="57"/>
      <c r="V2" s="57"/>
      <c r="W2" s="57"/>
      <c r="X2" s="57"/>
      <c r="Y2" s="57"/>
      <c r="Z2" s="57"/>
      <c r="AC2" s="57"/>
      <c r="AD2" s="57"/>
      <c r="AE2" s="57"/>
      <c r="AF2" s="57"/>
    </row>
    <row r="3" spans="1:32" ht="12.75" customHeight="1" x14ac:dyDescent="0.25">
      <c r="A3" s="5"/>
      <c r="B3" s="6" t="s">
        <v>83</v>
      </c>
      <c r="C3" s="6" t="s">
        <v>36</v>
      </c>
      <c r="D3" s="6" t="s">
        <v>83</v>
      </c>
      <c r="E3" s="6" t="s">
        <v>36</v>
      </c>
      <c r="F3" s="6" t="s">
        <v>83</v>
      </c>
      <c r="G3" s="6" t="s">
        <v>36</v>
      </c>
      <c r="H3" s="6" t="s">
        <v>83</v>
      </c>
      <c r="I3" s="6" t="s">
        <v>36</v>
      </c>
      <c r="J3" s="6" t="s">
        <v>83</v>
      </c>
      <c r="K3" s="6" t="s">
        <v>36</v>
      </c>
      <c r="L3" s="6" t="s">
        <v>83</v>
      </c>
      <c r="M3" s="6" t="s">
        <v>36</v>
      </c>
      <c r="N3" s="6" t="s">
        <v>83</v>
      </c>
      <c r="O3" s="6" t="s">
        <v>36</v>
      </c>
      <c r="P3" s="6" t="s">
        <v>37</v>
      </c>
      <c r="Q3" s="6" t="s">
        <v>38</v>
      </c>
      <c r="R3" s="7" t="s">
        <v>3</v>
      </c>
      <c r="S3" s="6"/>
      <c r="T3" s="57"/>
      <c r="U3" s="57"/>
      <c r="V3" s="57"/>
      <c r="W3" s="57"/>
      <c r="X3" s="57"/>
      <c r="Y3" s="57"/>
      <c r="Z3" s="57"/>
      <c r="AA3" s="57"/>
      <c r="AC3" s="57"/>
      <c r="AD3" s="57"/>
      <c r="AE3" s="57"/>
      <c r="AF3" s="57"/>
    </row>
    <row r="4" spans="1:32" ht="13.5" customHeight="1" x14ac:dyDescent="0.25">
      <c r="A4" s="8"/>
      <c r="B4" s="9">
        <v>1</v>
      </c>
      <c r="C4" s="10" t="s">
        <v>39</v>
      </c>
      <c r="D4" s="9">
        <v>2</v>
      </c>
      <c r="E4" s="10" t="s">
        <v>39</v>
      </c>
      <c r="F4" s="9">
        <v>3</v>
      </c>
      <c r="G4" s="10" t="s">
        <v>39</v>
      </c>
      <c r="H4" s="9">
        <v>4</v>
      </c>
      <c r="I4" s="10" t="s">
        <v>39</v>
      </c>
      <c r="J4" s="9">
        <v>5</v>
      </c>
      <c r="K4" s="10" t="s">
        <v>39</v>
      </c>
      <c r="L4" s="9">
        <v>6</v>
      </c>
      <c r="M4" s="10" t="s">
        <v>39</v>
      </c>
      <c r="N4" s="9">
        <v>7</v>
      </c>
      <c r="O4" s="10" t="s">
        <v>39</v>
      </c>
      <c r="P4" s="10" t="s">
        <v>36</v>
      </c>
      <c r="Q4" s="9" t="s">
        <v>83</v>
      </c>
      <c r="R4" s="8"/>
      <c r="S4" s="9" t="s">
        <v>40</v>
      </c>
      <c r="T4" s="57"/>
      <c r="U4" s="57"/>
      <c r="V4" s="57"/>
      <c r="W4" s="57"/>
      <c r="X4" s="57"/>
      <c r="Y4" s="57"/>
      <c r="Z4" s="57"/>
      <c r="AA4" s="57"/>
      <c r="AB4" s="65"/>
      <c r="AC4" s="57"/>
      <c r="AD4" s="57"/>
      <c r="AE4" s="57"/>
      <c r="AF4" s="57"/>
    </row>
    <row r="5" spans="1:32" ht="11.25" customHeight="1" x14ac:dyDescent="0.25">
      <c r="A5" s="8"/>
      <c r="B5" s="10" t="s">
        <v>41</v>
      </c>
      <c r="C5" s="9">
        <v>1</v>
      </c>
      <c r="D5" s="10" t="s">
        <v>42</v>
      </c>
      <c r="E5" s="9">
        <v>2</v>
      </c>
      <c r="F5" s="10" t="s">
        <v>43</v>
      </c>
      <c r="G5" s="9">
        <v>3</v>
      </c>
      <c r="H5" s="10" t="s">
        <v>44</v>
      </c>
      <c r="I5" s="9">
        <v>4</v>
      </c>
      <c r="J5" s="10" t="s">
        <v>45</v>
      </c>
      <c r="K5" s="9">
        <v>5</v>
      </c>
      <c r="L5" s="10" t="s">
        <v>46</v>
      </c>
      <c r="M5" s="9">
        <v>6</v>
      </c>
      <c r="N5" s="10" t="s">
        <v>47</v>
      </c>
      <c r="O5" s="9">
        <v>7</v>
      </c>
      <c r="P5" s="10" t="s">
        <v>48</v>
      </c>
      <c r="Q5" s="9"/>
      <c r="R5" s="8"/>
      <c r="S5" s="9" t="s">
        <v>49</v>
      </c>
      <c r="T5" s="57"/>
      <c r="U5" s="57"/>
      <c r="V5" s="57"/>
      <c r="W5" s="57"/>
      <c r="X5" s="57"/>
      <c r="Y5" s="57"/>
      <c r="Z5" s="57"/>
      <c r="AA5" s="57"/>
      <c r="AB5" s="65"/>
      <c r="AC5" s="57"/>
      <c r="AD5" s="57"/>
      <c r="AE5" s="57"/>
      <c r="AF5" s="57"/>
    </row>
    <row r="6" spans="1:32" ht="13.5" customHeight="1" x14ac:dyDescent="0.25">
      <c r="A6" s="11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 t="s">
        <v>83</v>
      </c>
      <c r="Q6" s="12"/>
      <c r="R6" s="13"/>
      <c r="S6" s="12"/>
      <c r="T6" s="57"/>
      <c r="U6" s="57"/>
      <c r="V6" s="57"/>
      <c r="W6" s="57"/>
      <c r="X6" s="57"/>
      <c r="Y6" s="57"/>
      <c r="Z6" s="57"/>
      <c r="AA6" s="57"/>
      <c r="AC6" s="57"/>
      <c r="AD6" s="57"/>
      <c r="AE6" s="57"/>
      <c r="AF6" s="57"/>
    </row>
    <row r="7" spans="1:32" ht="12.75" customHeight="1" x14ac:dyDescent="0.25">
      <c r="A7" s="5" t="s">
        <v>50</v>
      </c>
      <c r="B7" s="6">
        <v>453</v>
      </c>
      <c r="C7" s="6">
        <v>1</v>
      </c>
      <c r="D7" s="6">
        <v>1630</v>
      </c>
      <c r="E7" s="6">
        <v>22</v>
      </c>
      <c r="F7" s="6">
        <v>4198</v>
      </c>
      <c r="G7" s="6">
        <v>16</v>
      </c>
      <c r="H7" s="6">
        <v>459</v>
      </c>
      <c r="I7" s="6">
        <v>3</v>
      </c>
      <c r="J7" s="6">
        <v>326</v>
      </c>
      <c r="K7" s="6"/>
      <c r="L7" s="6">
        <v>238</v>
      </c>
      <c r="M7" s="6"/>
      <c r="N7" s="6">
        <v>270</v>
      </c>
      <c r="O7" s="6"/>
      <c r="P7" s="6">
        <v>6</v>
      </c>
      <c r="Q7" s="6">
        <v>8</v>
      </c>
      <c r="R7" s="14">
        <f t="shared" ref="R7:R18" si="0">SUM(B7:Q7)</f>
        <v>7630</v>
      </c>
      <c r="S7" s="6">
        <v>22</v>
      </c>
      <c r="T7" s="57"/>
      <c r="U7" s="57"/>
      <c r="V7" s="57"/>
      <c r="W7" s="57"/>
      <c r="X7" s="57"/>
      <c r="Y7" s="57"/>
      <c r="Z7" s="57"/>
      <c r="AA7" s="57"/>
      <c r="AC7" s="57"/>
      <c r="AD7" s="57"/>
      <c r="AE7" s="57"/>
      <c r="AF7" s="57"/>
    </row>
    <row r="8" spans="1:32" ht="12.75" customHeight="1" x14ac:dyDescent="0.25">
      <c r="A8" s="15" t="s">
        <v>51</v>
      </c>
      <c r="B8" s="10">
        <v>444</v>
      </c>
      <c r="C8" s="10"/>
      <c r="D8" s="10">
        <v>1411</v>
      </c>
      <c r="E8" s="10">
        <v>28</v>
      </c>
      <c r="F8" s="10">
        <v>3535</v>
      </c>
      <c r="G8" s="10">
        <v>40</v>
      </c>
      <c r="H8" s="10">
        <v>350</v>
      </c>
      <c r="I8" s="10">
        <v>3</v>
      </c>
      <c r="J8" s="10">
        <v>304</v>
      </c>
      <c r="K8" s="10"/>
      <c r="L8" s="10">
        <v>184</v>
      </c>
      <c r="M8" s="10"/>
      <c r="N8" s="10">
        <v>178</v>
      </c>
      <c r="O8" s="10"/>
      <c r="P8" s="10">
        <v>15</v>
      </c>
      <c r="Q8" s="10">
        <v>22</v>
      </c>
      <c r="R8" s="9">
        <f t="shared" si="0"/>
        <v>6514</v>
      </c>
      <c r="S8" s="10">
        <v>20</v>
      </c>
      <c r="T8" s="57"/>
      <c r="U8" s="57"/>
      <c r="V8" s="57"/>
      <c r="W8" s="57"/>
      <c r="X8" s="57"/>
      <c r="Y8" s="57"/>
      <c r="Z8" s="57"/>
      <c r="AA8" s="57"/>
      <c r="AC8" s="57"/>
      <c r="AD8" s="57"/>
      <c r="AE8" s="57"/>
      <c r="AF8" s="57"/>
    </row>
    <row r="9" spans="1:32" ht="12.75" customHeight="1" x14ac:dyDescent="0.25">
      <c r="A9" s="15" t="s">
        <v>52</v>
      </c>
      <c r="B9" s="10">
        <v>384</v>
      </c>
      <c r="C9" s="10">
        <v>1</v>
      </c>
      <c r="D9" s="10">
        <v>1720</v>
      </c>
      <c r="E9" s="10">
        <v>37</v>
      </c>
      <c r="F9" s="10">
        <v>4311</v>
      </c>
      <c r="G9" s="10">
        <v>31</v>
      </c>
      <c r="H9" s="10">
        <v>391</v>
      </c>
      <c r="I9" s="10">
        <v>8</v>
      </c>
      <c r="J9" s="10">
        <v>366</v>
      </c>
      <c r="K9" s="10">
        <v>1</v>
      </c>
      <c r="L9" s="10">
        <v>226</v>
      </c>
      <c r="M9" s="10"/>
      <c r="N9" s="10">
        <v>204</v>
      </c>
      <c r="O9" s="10"/>
      <c r="P9" s="10">
        <v>29</v>
      </c>
      <c r="Q9" s="10">
        <v>5</v>
      </c>
      <c r="R9" s="9">
        <f t="shared" si="0"/>
        <v>7714</v>
      </c>
      <c r="S9" s="10">
        <v>23</v>
      </c>
      <c r="T9" s="57"/>
      <c r="U9" s="57"/>
      <c r="V9" s="57"/>
      <c r="W9" s="57"/>
      <c r="X9" s="57"/>
      <c r="Y9" s="57"/>
      <c r="Z9" s="57"/>
      <c r="AA9" s="57"/>
      <c r="AC9" s="57"/>
    </row>
    <row r="10" spans="1:32" ht="12.75" customHeight="1" x14ac:dyDescent="0.25">
      <c r="A10" s="15" t="s">
        <v>53</v>
      </c>
      <c r="B10" s="10">
        <v>283</v>
      </c>
      <c r="C10" s="10">
        <v>1</v>
      </c>
      <c r="D10" s="10">
        <v>1055</v>
      </c>
      <c r="E10" s="10">
        <v>29</v>
      </c>
      <c r="F10" s="10">
        <v>2824</v>
      </c>
      <c r="G10" s="10">
        <v>25</v>
      </c>
      <c r="H10" s="10">
        <v>235</v>
      </c>
      <c r="I10" s="10">
        <v>4</v>
      </c>
      <c r="J10" s="10">
        <v>242</v>
      </c>
      <c r="K10" s="10"/>
      <c r="L10" s="10">
        <v>156</v>
      </c>
      <c r="M10" s="10"/>
      <c r="N10" s="10">
        <v>121</v>
      </c>
      <c r="O10" s="10"/>
      <c r="P10" s="10">
        <v>10</v>
      </c>
      <c r="Q10" s="10">
        <v>11</v>
      </c>
      <c r="R10" s="9">
        <f t="shared" si="0"/>
        <v>4996</v>
      </c>
      <c r="S10" s="10">
        <v>19</v>
      </c>
      <c r="T10" s="57"/>
      <c r="U10" s="57"/>
      <c r="V10" s="57"/>
      <c r="W10" s="57"/>
      <c r="X10" s="57"/>
      <c r="Y10" s="57"/>
      <c r="Z10" s="57"/>
      <c r="AA10" s="57"/>
      <c r="AC10" s="57"/>
    </row>
    <row r="11" spans="1:32" ht="12.75" customHeight="1" x14ac:dyDescent="0.25">
      <c r="A11" s="15" t="s">
        <v>54</v>
      </c>
      <c r="B11" s="10">
        <v>365</v>
      </c>
      <c r="C11" s="10"/>
      <c r="D11" s="10">
        <v>1113</v>
      </c>
      <c r="E11" s="10">
        <v>33</v>
      </c>
      <c r="F11" s="10">
        <v>3530</v>
      </c>
      <c r="G11" s="10">
        <v>28</v>
      </c>
      <c r="H11" s="10">
        <v>337</v>
      </c>
      <c r="I11" s="10">
        <v>4</v>
      </c>
      <c r="J11" s="10">
        <v>336</v>
      </c>
      <c r="K11" s="10"/>
      <c r="L11" s="10">
        <v>176</v>
      </c>
      <c r="M11" s="10"/>
      <c r="N11" s="10">
        <v>148</v>
      </c>
      <c r="O11" s="10"/>
      <c r="P11" s="10">
        <v>15</v>
      </c>
      <c r="Q11" s="10">
        <v>10</v>
      </c>
      <c r="R11" s="9">
        <f t="shared" si="0"/>
        <v>6095</v>
      </c>
      <c r="S11" s="10">
        <v>19</v>
      </c>
      <c r="T11" s="57"/>
      <c r="U11" s="57"/>
      <c r="V11" s="57"/>
      <c r="W11" s="57"/>
      <c r="X11" s="57"/>
      <c r="Y11" s="57"/>
      <c r="Z11" s="57"/>
      <c r="AA11" s="57"/>
      <c r="AC11" s="57"/>
    </row>
    <row r="12" spans="1:32" ht="12.75" customHeight="1" x14ac:dyDescent="0.25">
      <c r="A12" s="15" t="s">
        <v>55</v>
      </c>
      <c r="B12" s="10">
        <v>440</v>
      </c>
      <c r="C12" s="10"/>
      <c r="D12" s="10">
        <v>1341</v>
      </c>
      <c r="E12" s="10">
        <v>18</v>
      </c>
      <c r="F12" s="10">
        <v>4281</v>
      </c>
      <c r="G12" s="10">
        <v>46</v>
      </c>
      <c r="H12" s="10">
        <v>370</v>
      </c>
      <c r="I12" s="10">
        <v>6</v>
      </c>
      <c r="J12" s="10">
        <v>353</v>
      </c>
      <c r="K12" s="10"/>
      <c r="L12" s="10">
        <v>203</v>
      </c>
      <c r="M12" s="10"/>
      <c r="N12" s="10">
        <v>194</v>
      </c>
      <c r="O12" s="10">
        <v>1</v>
      </c>
      <c r="P12" s="10">
        <v>20</v>
      </c>
      <c r="Q12" s="10">
        <v>4</v>
      </c>
      <c r="R12" s="9">
        <f t="shared" si="0"/>
        <v>7277</v>
      </c>
      <c r="S12" s="10">
        <v>22</v>
      </c>
      <c r="T12" s="57"/>
      <c r="U12" s="57"/>
      <c r="V12" s="57"/>
      <c r="W12" s="57"/>
      <c r="X12" s="57"/>
      <c r="Y12" s="57"/>
      <c r="Z12" s="57"/>
      <c r="AA12" s="57"/>
      <c r="AC12" s="57"/>
    </row>
    <row r="13" spans="1:32" ht="12.75" customHeight="1" x14ac:dyDescent="0.25">
      <c r="A13" s="15" t="s">
        <v>56</v>
      </c>
      <c r="B13" s="10">
        <v>353</v>
      </c>
      <c r="C13" s="10">
        <v>1</v>
      </c>
      <c r="D13" s="10">
        <v>1072</v>
      </c>
      <c r="E13" s="10">
        <v>36</v>
      </c>
      <c r="F13" s="10">
        <v>3170</v>
      </c>
      <c r="G13" s="10">
        <v>12</v>
      </c>
      <c r="H13" s="10">
        <v>292</v>
      </c>
      <c r="I13" s="10">
        <v>10</v>
      </c>
      <c r="J13" s="10">
        <v>262</v>
      </c>
      <c r="K13" s="10"/>
      <c r="L13" s="10">
        <v>160</v>
      </c>
      <c r="M13" s="10">
        <v>1</v>
      </c>
      <c r="N13" s="10">
        <v>153</v>
      </c>
      <c r="O13" s="10"/>
      <c r="P13" s="10">
        <v>18</v>
      </c>
      <c r="Q13" s="10">
        <v>2</v>
      </c>
      <c r="R13" s="9">
        <f t="shared" si="0"/>
        <v>5542</v>
      </c>
      <c r="S13" s="10">
        <v>20</v>
      </c>
      <c r="T13" s="57"/>
      <c r="U13" s="57"/>
      <c r="V13" s="57"/>
      <c r="W13" s="57"/>
      <c r="X13" s="57"/>
      <c r="Y13" s="57"/>
      <c r="Z13" s="57"/>
      <c r="AA13" s="57"/>
      <c r="AC13" s="57"/>
    </row>
    <row r="14" spans="1:32" ht="12.75" customHeight="1" x14ac:dyDescent="0.25">
      <c r="A14" s="15" t="s">
        <v>57</v>
      </c>
      <c r="B14" s="10">
        <v>338</v>
      </c>
      <c r="C14" s="10">
        <v>1</v>
      </c>
      <c r="D14" s="10">
        <v>768</v>
      </c>
      <c r="E14" s="10">
        <v>24</v>
      </c>
      <c r="F14" s="10">
        <v>2955</v>
      </c>
      <c r="G14" s="10">
        <v>28</v>
      </c>
      <c r="H14" s="10">
        <v>250</v>
      </c>
      <c r="I14" s="10">
        <v>24</v>
      </c>
      <c r="J14" s="10">
        <v>286</v>
      </c>
      <c r="K14" s="10">
        <v>1</v>
      </c>
      <c r="L14" s="10">
        <v>102</v>
      </c>
      <c r="M14" s="10"/>
      <c r="N14" s="10">
        <v>131</v>
      </c>
      <c r="O14" s="10">
        <v>2</v>
      </c>
      <c r="P14" s="10">
        <v>5</v>
      </c>
      <c r="Q14" s="10">
        <v>4</v>
      </c>
      <c r="R14" s="9">
        <f t="shared" si="0"/>
        <v>4919</v>
      </c>
      <c r="S14" s="10">
        <v>22</v>
      </c>
      <c r="T14" s="57"/>
      <c r="U14" s="57"/>
      <c r="V14" s="57"/>
      <c r="W14" s="57"/>
      <c r="X14" s="57"/>
      <c r="Y14" s="57"/>
      <c r="Z14" s="57"/>
      <c r="AA14" s="57"/>
      <c r="AC14" s="57"/>
    </row>
    <row r="15" spans="1:32" ht="12.75" customHeight="1" x14ac:dyDescent="0.25">
      <c r="A15" s="15" t="s">
        <v>58</v>
      </c>
      <c r="B15" s="10">
        <v>629</v>
      </c>
      <c r="C15" s="10"/>
      <c r="D15" s="10">
        <v>1107</v>
      </c>
      <c r="E15" s="10">
        <v>14</v>
      </c>
      <c r="F15" s="10">
        <v>4629</v>
      </c>
      <c r="G15" s="10">
        <v>17</v>
      </c>
      <c r="H15" s="10">
        <v>450</v>
      </c>
      <c r="I15" s="10">
        <v>21</v>
      </c>
      <c r="J15" s="10">
        <v>392</v>
      </c>
      <c r="K15" s="10"/>
      <c r="L15" s="10">
        <v>186</v>
      </c>
      <c r="M15" s="10"/>
      <c r="N15" s="10">
        <v>178</v>
      </c>
      <c r="O15" s="10"/>
      <c r="P15" s="10">
        <v>9</v>
      </c>
      <c r="Q15" s="10">
        <v>1</v>
      </c>
      <c r="R15" s="9">
        <f t="shared" si="0"/>
        <v>7633</v>
      </c>
      <c r="S15" s="10">
        <v>21</v>
      </c>
      <c r="T15" s="57"/>
      <c r="U15" s="57"/>
      <c r="V15" s="57"/>
      <c r="W15" s="57"/>
      <c r="X15" s="57"/>
      <c r="Y15" s="57"/>
      <c r="Z15" s="57"/>
      <c r="AA15" s="57"/>
      <c r="AC15" s="57"/>
    </row>
    <row r="16" spans="1:32" ht="12.75" customHeight="1" x14ac:dyDescent="0.25">
      <c r="A16" s="15" t="s">
        <v>59</v>
      </c>
      <c r="B16" s="10">
        <v>577</v>
      </c>
      <c r="C16" s="10"/>
      <c r="D16" s="10">
        <v>1401</v>
      </c>
      <c r="E16" s="10">
        <v>13</v>
      </c>
      <c r="F16" s="10">
        <v>4218</v>
      </c>
      <c r="G16" s="10">
        <v>29</v>
      </c>
      <c r="H16" s="10">
        <v>424</v>
      </c>
      <c r="I16" s="10">
        <v>19</v>
      </c>
      <c r="J16" s="10">
        <v>386</v>
      </c>
      <c r="K16" s="10">
        <v>2</v>
      </c>
      <c r="L16" s="10">
        <v>187</v>
      </c>
      <c r="M16" s="10"/>
      <c r="N16" s="10">
        <v>178</v>
      </c>
      <c r="O16" s="10"/>
      <c r="P16" s="10">
        <v>22</v>
      </c>
      <c r="Q16" s="10">
        <v>3</v>
      </c>
      <c r="R16" s="9">
        <f t="shared" si="0"/>
        <v>7459</v>
      </c>
      <c r="S16" s="10">
        <v>21</v>
      </c>
      <c r="T16" s="57"/>
      <c r="U16" s="57"/>
      <c r="V16" s="57"/>
      <c r="W16" s="57"/>
      <c r="X16" s="57"/>
      <c r="Y16" s="57"/>
      <c r="Z16" s="57"/>
      <c r="AA16" s="57"/>
      <c r="AC16" s="57"/>
    </row>
    <row r="17" spans="1:29" ht="12.75" customHeight="1" x14ac:dyDescent="0.25">
      <c r="A17" s="15" t="s">
        <v>60</v>
      </c>
      <c r="B17" s="10">
        <v>315</v>
      </c>
      <c r="C17" s="10"/>
      <c r="D17" s="10">
        <v>1416</v>
      </c>
      <c r="E17" s="10">
        <v>15</v>
      </c>
      <c r="F17" s="10">
        <v>4749</v>
      </c>
      <c r="G17" s="10">
        <v>26</v>
      </c>
      <c r="H17" s="10">
        <v>431</v>
      </c>
      <c r="I17" s="10">
        <v>27</v>
      </c>
      <c r="J17" s="10">
        <v>400</v>
      </c>
      <c r="K17" s="10"/>
      <c r="L17" s="10">
        <v>187</v>
      </c>
      <c r="M17" s="10"/>
      <c r="N17" s="10">
        <v>239</v>
      </c>
      <c r="O17" s="10"/>
      <c r="P17" s="10">
        <v>29</v>
      </c>
      <c r="Q17" s="10">
        <v>5</v>
      </c>
      <c r="R17" s="9">
        <f t="shared" si="0"/>
        <v>7839</v>
      </c>
      <c r="S17" s="10">
        <v>21</v>
      </c>
      <c r="T17" s="57"/>
      <c r="U17" s="57"/>
      <c r="V17" s="57"/>
      <c r="W17" s="57"/>
      <c r="X17" s="57"/>
      <c r="Y17" s="57"/>
      <c r="Z17" s="57"/>
      <c r="AA17" s="57"/>
      <c r="AC17" s="57"/>
    </row>
    <row r="18" spans="1:29" ht="12.75" customHeight="1" x14ac:dyDescent="0.25">
      <c r="A18" s="15" t="s">
        <v>61</v>
      </c>
      <c r="B18" s="10">
        <v>145</v>
      </c>
      <c r="C18" s="10"/>
      <c r="D18" s="10">
        <v>1319</v>
      </c>
      <c r="E18" s="10">
        <v>12</v>
      </c>
      <c r="F18" s="10">
        <v>3806</v>
      </c>
      <c r="G18" s="10">
        <v>32</v>
      </c>
      <c r="H18" s="10">
        <v>339</v>
      </c>
      <c r="I18" s="10">
        <v>23</v>
      </c>
      <c r="J18" s="10">
        <v>341</v>
      </c>
      <c r="K18" s="10"/>
      <c r="L18" s="10">
        <v>138</v>
      </c>
      <c r="M18" s="10"/>
      <c r="N18" s="10">
        <v>168</v>
      </c>
      <c r="O18" s="10"/>
      <c r="P18" s="10">
        <v>16</v>
      </c>
      <c r="Q18" s="10">
        <v>10</v>
      </c>
      <c r="R18" s="9">
        <f t="shared" si="0"/>
        <v>6349</v>
      </c>
      <c r="S18" s="10">
        <v>20</v>
      </c>
      <c r="T18" s="57"/>
      <c r="U18" s="57"/>
      <c r="V18" s="57"/>
      <c r="W18" s="57"/>
      <c r="X18" s="57"/>
      <c r="Y18" s="57"/>
      <c r="Z18" s="57"/>
      <c r="AA18" s="57"/>
      <c r="AB18" s="57"/>
      <c r="AC18" s="57"/>
    </row>
    <row r="19" spans="1:29" ht="12.75" customHeight="1" x14ac:dyDescent="0.25">
      <c r="A19" s="15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9"/>
      <c r="S19" s="10"/>
      <c r="T19" s="57"/>
      <c r="U19" s="57"/>
      <c r="V19" s="57"/>
      <c r="W19" s="57"/>
      <c r="X19" s="57"/>
      <c r="Y19" s="57"/>
      <c r="Z19" s="57"/>
      <c r="AA19" s="57"/>
      <c r="AC19" s="57"/>
    </row>
    <row r="20" spans="1:29" ht="12.75" customHeight="1" x14ac:dyDescent="0.25">
      <c r="A20" s="16" t="s">
        <v>3</v>
      </c>
      <c r="B20" s="17">
        <f t="shared" ref="B20:S20" si="1">SUM(B7:B19)</f>
        <v>4726</v>
      </c>
      <c r="C20" s="17">
        <f t="shared" si="1"/>
        <v>5</v>
      </c>
      <c r="D20" s="17">
        <f t="shared" si="1"/>
        <v>15353</v>
      </c>
      <c r="E20" s="17">
        <f t="shared" si="1"/>
        <v>281</v>
      </c>
      <c r="F20" s="17">
        <f t="shared" si="1"/>
        <v>46206</v>
      </c>
      <c r="G20" s="17">
        <f t="shared" si="1"/>
        <v>330</v>
      </c>
      <c r="H20" s="17">
        <f t="shared" si="1"/>
        <v>4328</v>
      </c>
      <c r="I20" s="17">
        <f t="shared" si="1"/>
        <v>152</v>
      </c>
      <c r="J20" s="17">
        <f t="shared" si="1"/>
        <v>3994</v>
      </c>
      <c r="K20" s="17">
        <f t="shared" si="1"/>
        <v>4</v>
      </c>
      <c r="L20" s="17">
        <f t="shared" si="1"/>
        <v>2143</v>
      </c>
      <c r="M20" s="17">
        <f t="shared" si="1"/>
        <v>1</v>
      </c>
      <c r="N20" s="17">
        <f t="shared" si="1"/>
        <v>2162</v>
      </c>
      <c r="O20" s="17">
        <f t="shared" si="1"/>
        <v>3</v>
      </c>
      <c r="P20" s="17">
        <f t="shared" si="1"/>
        <v>194</v>
      </c>
      <c r="Q20" s="17">
        <f t="shared" si="1"/>
        <v>85</v>
      </c>
      <c r="R20" s="18">
        <f t="shared" si="1"/>
        <v>79967</v>
      </c>
      <c r="S20" s="17">
        <f t="shared" si="1"/>
        <v>250</v>
      </c>
      <c r="T20" s="57"/>
      <c r="U20" s="57"/>
      <c r="V20" s="57"/>
      <c r="W20" s="57"/>
      <c r="X20" s="57"/>
      <c r="Y20" s="57"/>
      <c r="Z20" s="57"/>
      <c r="AA20" s="57"/>
      <c r="AB20" s="57"/>
      <c r="AC20" s="57"/>
    </row>
    <row r="21" spans="1:29" ht="12.75" customHeight="1" x14ac:dyDescent="0.25">
      <c r="T21" s="57"/>
      <c r="U21" s="57"/>
      <c r="V21" s="57"/>
      <c r="W21" s="57"/>
      <c r="X21" s="57"/>
      <c r="Y21" s="57"/>
      <c r="Z21" s="57"/>
      <c r="AA21" s="57"/>
      <c r="AB21" s="57"/>
      <c r="AC21" s="57"/>
    </row>
    <row r="22" spans="1:29" ht="12.75" customHeight="1" x14ac:dyDescent="0.25">
      <c r="R22" s="4" t="s">
        <v>34</v>
      </c>
      <c r="S22" s="19">
        <f>R20/S20</f>
        <v>319.86799999999999</v>
      </c>
      <c r="T22" s="57"/>
      <c r="U22" s="57"/>
      <c r="V22" s="57"/>
      <c r="W22" s="57"/>
      <c r="X22" s="57"/>
      <c r="Y22" s="57"/>
      <c r="Z22" s="57"/>
      <c r="AA22" s="57"/>
      <c r="AB22" s="57"/>
      <c r="AC22" s="57"/>
    </row>
    <row r="23" spans="1:29" s="66" customFormat="1" ht="12.75" customHeight="1" x14ac:dyDescent="0.25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4"/>
      <c r="S23" s="3"/>
      <c r="T23" s="57"/>
      <c r="U23" s="57"/>
      <c r="V23" s="57"/>
      <c r="W23" s="57"/>
      <c r="X23" s="57"/>
      <c r="Y23" s="57"/>
      <c r="Z23" s="57"/>
      <c r="AA23" s="57"/>
      <c r="AB23" s="57"/>
      <c r="AC23" s="57"/>
    </row>
    <row r="24" spans="1:29" s="66" customFormat="1" ht="12.75" customHeight="1" x14ac:dyDescent="0.25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4"/>
      <c r="S24" s="3"/>
      <c r="T24" s="57"/>
      <c r="U24" s="57"/>
      <c r="V24" s="57"/>
      <c r="W24" s="57"/>
      <c r="X24" s="57"/>
      <c r="Y24" s="57"/>
      <c r="Z24" s="57"/>
      <c r="AA24" s="57"/>
      <c r="AB24" s="57"/>
      <c r="AC24" s="57"/>
    </row>
    <row r="25" spans="1:29" s="66" customFormat="1" ht="12.75" customHeight="1" x14ac:dyDescent="0.25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4"/>
      <c r="S25" s="3"/>
      <c r="T25" s="57"/>
      <c r="U25" s="57"/>
      <c r="V25" s="57"/>
      <c r="W25" s="57"/>
      <c r="X25" s="57"/>
      <c r="Y25" s="57"/>
      <c r="Z25" s="57"/>
      <c r="AA25" s="57"/>
      <c r="AB25" s="57"/>
      <c r="AC25" s="57"/>
    </row>
    <row r="26" spans="1:29" s="66" customFormat="1" ht="12.75" customHeight="1" x14ac:dyDescent="0.25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4"/>
      <c r="S26" s="3"/>
      <c r="T26" s="57"/>
      <c r="U26" s="57"/>
      <c r="V26" s="57"/>
      <c r="W26" s="57"/>
      <c r="X26" s="57"/>
      <c r="Y26" s="57"/>
      <c r="Z26" s="57"/>
      <c r="AA26" s="57"/>
      <c r="AB26" s="57"/>
      <c r="AC26" s="57"/>
    </row>
    <row r="27" spans="1:29" s="66" customFormat="1" ht="12.75" customHeight="1" x14ac:dyDescent="0.25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4"/>
      <c r="S27" s="3"/>
      <c r="T27" s="57"/>
      <c r="U27" s="57"/>
      <c r="V27" s="57"/>
      <c r="W27" s="57"/>
      <c r="X27" s="57"/>
      <c r="Y27" s="57"/>
      <c r="Z27" s="57"/>
      <c r="AA27" s="57"/>
      <c r="AB27" s="57"/>
      <c r="AC27" s="57"/>
    </row>
    <row r="28" spans="1:29" s="66" customFormat="1" ht="12.75" customHeight="1" x14ac:dyDescent="0.25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4"/>
      <c r="S28" s="3"/>
      <c r="T28" s="57"/>
      <c r="U28" s="57"/>
      <c r="V28" s="57"/>
      <c r="W28" s="57"/>
      <c r="X28" s="57"/>
      <c r="Y28" s="57"/>
      <c r="Z28" s="57"/>
      <c r="AA28" s="57"/>
      <c r="AB28" s="57"/>
      <c r="AC28" s="57"/>
    </row>
    <row r="29" spans="1:29" s="66" customFormat="1" ht="12.75" customHeight="1" x14ac:dyDescent="0.25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4"/>
      <c r="S29" s="3"/>
      <c r="T29" s="57"/>
      <c r="U29" s="57"/>
      <c r="V29" s="57"/>
      <c r="W29" s="57"/>
      <c r="X29" s="57"/>
      <c r="Y29" s="57"/>
      <c r="Z29" s="57"/>
      <c r="AA29" s="57"/>
      <c r="AB29" s="57"/>
      <c r="AC29" s="57"/>
    </row>
    <row r="30" spans="1:29" s="66" customFormat="1" ht="12.75" customHeight="1" x14ac:dyDescent="0.25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4"/>
      <c r="S30" s="3"/>
      <c r="T30" s="57"/>
      <c r="U30" s="57"/>
      <c r="V30" s="57"/>
      <c r="W30" s="57"/>
      <c r="X30" s="57"/>
      <c r="Y30" s="57"/>
      <c r="Z30" s="57"/>
      <c r="AA30" s="57"/>
      <c r="AB30" s="57"/>
      <c r="AC30" s="57"/>
    </row>
    <row r="31" spans="1:29" s="66" customFormat="1" ht="12.75" customHeight="1" x14ac:dyDescent="0.25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4"/>
      <c r="S31" s="3"/>
      <c r="T31" s="57"/>
      <c r="U31" s="57"/>
      <c r="V31" s="57"/>
      <c r="W31" s="57"/>
      <c r="X31" s="57"/>
      <c r="Y31" s="57"/>
      <c r="Z31" s="57"/>
      <c r="AA31" s="57"/>
      <c r="AB31" s="57"/>
      <c r="AC31" s="57"/>
    </row>
    <row r="32" spans="1:29" s="66" customFormat="1" ht="12.75" customHeight="1" x14ac:dyDescent="0.25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4"/>
      <c r="S32" s="3"/>
      <c r="T32" s="57"/>
      <c r="U32" s="57"/>
      <c r="V32" s="57"/>
      <c r="W32" s="57"/>
      <c r="X32" s="57"/>
      <c r="Y32" s="57"/>
      <c r="Z32" s="57"/>
      <c r="AA32" s="57"/>
      <c r="AB32" s="57"/>
      <c r="AC32" s="57"/>
    </row>
    <row r="33" spans="1:29" s="66" customFormat="1" ht="12.75" customHeight="1" x14ac:dyDescent="0.25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4"/>
      <c r="S33" s="3"/>
      <c r="T33" s="57"/>
      <c r="U33" s="57"/>
      <c r="V33" s="57"/>
      <c r="W33" s="57"/>
      <c r="X33" s="57"/>
      <c r="Y33" s="57"/>
      <c r="Z33" s="57"/>
      <c r="AA33" s="57"/>
      <c r="AB33" s="57"/>
      <c r="AC33" s="57"/>
    </row>
    <row r="34" spans="1:29" s="66" customFormat="1" ht="12.75" customHeight="1" x14ac:dyDescent="0.25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4"/>
      <c r="S34" s="3"/>
      <c r="T34" s="57"/>
      <c r="U34" s="57"/>
      <c r="V34" s="57"/>
      <c r="W34" s="57"/>
      <c r="X34" s="57"/>
      <c r="Y34" s="57"/>
      <c r="Z34" s="57"/>
      <c r="AA34" s="57"/>
      <c r="AB34" s="57"/>
      <c r="AC34" s="57"/>
    </row>
    <row r="35" spans="1:29" s="66" customFormat="1" ht="12.75" customHeight="1" x14ac:dyDescent="0.25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4"/>
      <c r="S35" s="3"/>
      <c r="T35" s="57"/>
      <c r="U35" s="57"/>
      <c r="V35" s="57"/>
      <c r="W35" s="57"/>
      <c r="X35" s="57"/>
      <c r="Y35" s="57"/>
      <c r="Z35" s="57"/>
      <c r="AA35" s="57"/>
      <c r="AB35" s="57"/>
      <c r="AC35" s="57"/>
    </row>
    <row r="36" spans="1:29" s="66" customFormat="1" ht="12.75" customHeight="1" x14ac:dyDescent="0.25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4"/>
      <c r="S36" s="3"/>
      <c r="T36" s="57"/>
      <c r="U36" s="57"/>
      <c r="V36" s="57"/>
      <c r="W36" s="57"/>
      <c r="X36" s="57"/>
      <c r="Y36" s="57"/>
      <c r="Z36" s="57"/>
      <c r="AA36" s="57"/>
      <c r="AB36" s="57"/>
      <c r="AC36" s="57"/>
    </row>
    <row r="37" spans="1:29" s="66" customFormat="1" ht="12.75" customHeight="1" x14ac:dyDescent="0.25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4"/>
      <c r="S37" s="3"/>
      <c r="T37" s="57"/>
      <c r="U37" s="57"/>
      <c r="V37" s="57"/>
      <c r="W37" s="57"/>
      <c r="X37" s="57"/>
      <c r="Y37" s="57"/>
      <c r="Z37" s="57"/>
      <c r="AA37" s="57"/>
      <c r="AB37" s="57"/>
      <c r="AC37" s="57"/>
    </row>
    <row r="38" spans="1:29" s="66" customFormat="1" ht="12.75" customHeight="1" x14ac:dyDescent="0.25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4"/>
      <c r="S38" s="3"/>
      <c r="T38" s="57"/>
      <c r="U38" s="57"/>
      <c r="V38" s="57"/>
      <c r="W38" s="57"/>
      <c r="X38" s="57"/>
      <c r="Y38" s="57"/>
      <c r="Z38" s="57"/>
      <c r="AA38" s="57"/>
      <c r="AB38" s="57"/>
      <c r="AC38" s="57"/>
    </row>
    <row r="39" spans="1:29" s="66" customFormat="1" ht="12.75" customHeight="1" x14ac:dyDescent="0.25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4"/>
      <c r="S39" s="3"/>
      <c r="T39" s="57"/>
      <c r="U39" s="57"/>
      <c r="V39" s="57"/>
      <c r="W39" s="57"/>
      <c r="X39" s="57"/>
      <c r="Y39" s="57"/>
      <c r="Z39" s="57"/>
      <c r="AA39" s="57"/>
      <c r="AB39" s="57"/>
      <c r="AC39" s="57"/>
    </row>
    <row r="40" spans="1:29" s="66" customFormat="1" ht="12.75" customHeight="1" x14ac:dyDescent="0.25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4"/>
      <c r="S40" s="3"/>
      <c r="T40" s="57"/>
      <c r="U40" s="57"/>
      <c r="V40" s="57"/>
      <c r="W40" s="57"/>
      <c r="X40" s="57"/>
      <c r="Y40" s="57"/>
      <c r="Z40" s="57"/>
      <c r="AA40" s="57"/>
      <c r="AB40" s="57"/>
      <c r="AC40" s="57"/>
    </row>
    <row r="41" spans="1:29" s="66" customFormat="1" ht="12.75" customHeight="1" x14ac:dyDescent="0.25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4"/>
      <c r="S41" s="3"/>
      <c r="T41" s="57"/>
      <c r="U41" s="57"/>
      <c r="V41" s="57"/>
      <c r="W41" s="57"/>
      <c r="X41" s="57"/>
      <c r="Y41" s="57"/>
      <c r="Z41" s="57"/>
      <c r="AA41" s="57"/>
      <c r="AB41" s="57"/>
      <c r="AC41" s="57"/>
    </row>
    <row r="42" spans="1:29" s="66" customFormat="1" ht="12.75" customHeight="1" x14ac:dyDescent="0.25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4"/>
      <c r="S42" s="3"/>
      <c r="T42" s="57"/>
      <c r="U42" s="57"/>
      <c r="V42" s="57"/>
      <c r="W42" s="57"/>
      <c r="X42" s="57"/>
      <c r="Y42" s="57"/>
      <c r="Z42" s="57"/>
      <c r="AA42" s="57"/>
      <c r="AB42" s="57"/>
      <c r="AC42" s="57"/>
    </row>
    <row r="43" spans="1:29" s="66" customFormat="1" ht="12.75" customHeight="1" x14ac:dyDescent="0.25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4"/>
      <c r="S43" s="3"/>
      <c r="T43" s="57"/>
      <c r="U43" s="57"/>
      <c r="V43" s="57"/>
      <c r="W43" s="57"/>
      <c r="X43" s="57"/>
      <c r="Y43" s="57"/>
      <c r="Z43" s="57"/>
      <c r="AA43" s="57"/>
      <c r="AB43" s="57"/>
      <c r="AC43" s="57"/>
    </row>
    <row r="44" spans="1:29" s="66" customFormat="1" ht="12.75" customHeight="1" x14ac:dyDescent="0.25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4"/>
      <c r="S44" s="3"/>
      <c r="T44" s="57"/>
      <c r="U44" s="57"/>
      <c r="V44" s="57"/>
      <c r="W44" s="57"/>
      <c r="X44" s="57"/>
      <c r="Y44" s="57"/>
      <c r="Z44" s="57"/>
      <c r="AA44" s="57"/>
      <c r="AB44" s="57"/>
      <c r="AC44" s="57"/>
    </row>
    <row r="45" spans="1:29" s="66" customFormat="1" ht="12.75" customHeight="1" x14ac:dyDescent="0.25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4"/>
      <c r="S45" s="3"/>
      <c r="T45" s="57"/>
      <c r="U45" s="57"/>
      <c r="V45" s="57"/>
      <c r="W45" s="57"/>
      <c r="X45" s="57"/>
      <c r="Y45" s="57"/>
      <c r="Z45" s="57"/>
      <c r="AA45" s="57"/>
      <c r="AB45" s="57"/>
      <c r="AC45" s="57"/>
    </row>
    <row r="46" spans="1:29" s="66" customFormat="1" ht="12.75" customHeight="1" x14ac:dyDescent="0.25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4"/>
      <c r="S46" s="3"/>
      <c r="T46" s="57"/>
      <c r="U46" s="57"/>
      <c r="V46" s="57"/>
      <c r="W46" s="57"/>
      <c r="X46" s="57"/>
      <c r="Y46" s="57"/>
      <c r="Z46" s="57"/>
      <c r="AA46" s="57"/>
      <c r="AB46" s="57"/>
      <c r="AC46" s="57"/>
    </row>
    <row r="47" spans="1:29" s="66" customFormat="1" ht="12.75" customHeight="1" x14ac:dyDescent="0.25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4"/>
      <c r="S47" s="3"/>
      <c r="T47" s="57"/>
      <c r="U47" s="57"/>
      <c r="V47" s="57"/>
      <c r="W47" s="57"/>
      <c r="X47" s="57"/>
      <c r="Y47" s="57"/>
      <c r="Z47" s="57"/>
      <c r="AA47" s="57"/>
      <c r="AB47" s="57"/>
      <c r="AC47" s="57"/>
    </row>
    <row r="48" spans="1:29" s="66" customFormat="1" ht="12.75" customHeight="1" x14ac:dyDescent="0.25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4"/>
      <c r="S48" s="3"/>
      <c r="T48" s="57"/>
      <c r="U48" s="57"/>
      <c r="V48" s="57"/>
      <c r="W48" s="57"/>
      <c r="X48" s="57"/>
      <c r="Y48" s="57"/>
      <c r="Z48" s="57"/>
      <c r="AA48" s="57"/>
      <c r="AB48" s="57"/>
      <c r="AC48" s="57"/>
    </row>
    <row r="49" spans="1:29" s="66" customFormat="1" ht="12.75" customHeight="1" x14ac:dyDescent="0.25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4"/>
      <c r="S49" s="3"/>
      <c r="T49" s="57"/>
      <c r="U49" s="57"/>
      <c r="V49" s="57"/>
      <c r="W49" s="57"/>
      <c r="X49" s="57"/>
      <c r="Y49" s="57"/>
      <c r="Z49" s="57"/>
      <c r="AA49" s="57"/>
      <c r="AB49" s="57"/>
      <c r="AC49" s="57"/>
    </row>
    <row r="50" spans="1:29" s="66" customFormat="1" ht="12.75" customHeight="1" x14ac:dyDescent="0.25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4"/>
      <c r="S50" s="3"/>
      <c r="T50" s="57"/>
      <c r="U50" s="57"/>
      <c r="V50" s="57"/>
      <c r="W50" s="57"/>
      <c r="X50" s="57"/>
      <c r="Y50" s="57"/>
      <c r="Z50" s="57"/>
      <c r="AA50" s="57"/>
      <c r="AB50" s="57"/>
      <c r="AC50" s="57"/>
    </row>
    <row r="51" spans="1:29" s="66" customFormat="1" ht="12.75" customHeight="1" x14ac:dyDescent="0.25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4"/>
      <c r="S51" s="3"/>
      <c r="T51" s="57"/>
      <c r="U51" s="57"/>
      <c r="V51" s="57"/>
      <c r="W51" s="57"/>
      <c r="X51" s="57"/>
      <c r="Y51" s="57"/>
      <c r="Z51" s="57"/>
      <c r="AA51" s="57"/>
      <c r="AB51" s="57"/>
      <c r="AC51" s="57"/>
    </row>
    <row r="52" spans="1:29" s="66" customFormat="1" ht="12.75" customHeight="1" x14ac:dyDescent="0.25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4"/>
      <c r="S52" s="3"/>
      <c r="T52" s="57"/>
      <c r="U52" s="57"/>
      <c r="V52" s="57"/>
      <c r="W52" s="57"/>
      <c r="X52" s="57"/>
      <c r="Y52" s="57"/>
      <c r="Z52" s="57"/>
      <c r="AA52" s="57"/>
      <c r="AB52" s="57"/>
      <c r="AC52" s="57"/>
    </row>
    <row r="53" spans="1:29" s="66" customFormat="1" ht="12.75" customHeight="1" x14ac:dyDescent="0.25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4"/>
      <c r="S53" s="3"/>
      <c r="T53" s="57"/>
      <c r="U53" s="57"/>
      <c r="V53" s="57"/>
      <c r="W53" s="57"/>
      <c r="X53" s="57"/>
      <c r="Y53" s="57"/>
      <c r="Z53" s="57"/>
      <c r="AA53" s="57"/>
      <c r="AB53" s="57"/>
      <c r="AC53" s="57"/>
    </row>
    <row r="54" spans="1:29" s="66" customFormat="1" ht="12.75" customHeight="1" x14ac:dyDescent="0.25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4"/>
      <c r="S54" s="3"/>
      <c r="T54" s="57"/>
      <c r="U54" s="57"/>
      <c r="V54" s="57"/>
      <c r="W54" s="57"/>
      <c r="X54" s="57"/>
      <c r="Y54" s="57"/>
      <c r="Z54" s="57"/>
      <c r="AA54" s="57"/>
      <c r="AB54" s="57"/>
      <c r="AC54" s="57"/>
    </row>
    <row r="55" spans="1:29" s="66" customFormat="1" ht="12.75" customHeight="1" x14ac:dyDescent="0.25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4"/>
      <c r="S55" s="3"/>
      <c r="T55" s="57"/>
      <c r="U55" s="57"/>
      <c r="V55" s="57"/>
      <c r="W55" s="57"/>
      <c r="X55" s="57"/>
      <c r="Y55" s="57"/>
      <c r="Z55" s="57"/>
      <c r="AA55" s="57"/>
      <c r="AB55" s="57"/>
      <c r="AC55" s="57"/>
    </row>
    <row r="56" spans="1:29" s="66" customFormat="1" ht="12.75" customHeight="1" x14ac:dyDescent="0.25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4"/>
      <c r="S56" s="3"/>
      <c r="T56" s="57"/>
      <c r="U56" s="57"/>
      <c r="V56" s="57"/>
      <c r="W56" s="57"/>
      <c r="X56" s="57"/>
      <c r="Y56" s="57"/>
      <c r="Z56" s="57"/>
      <c r="AA56" s="57"/>
      <c r="AB56" s="57"/>
      <c r="AC56" s="57"/>
    </row>
    <row r="57" spans="1:29" s="66" customFormat="1" ht="12.75" customHeight="1" x14ac:dyDescent="0.25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4"/>
      <c r="S57" s="3"/>
      <c r="T57" s="57"/>
      <c r="U57" s="57"/>
      <c r="V57" s="57"/>
      <c r="W57" s="57"/>
      <c r="X57" s="57"/>
      <c r="Y57" s="57"/>
      <c r="Z57" s="57"/>
      <c r="AA57" s="57"/>
      <c r="AB57" s="57"/>
      <c r="AC57" s="57"/>
    </row>
    <row r="58" spans="1:29" s="66" customFormat="1" ht="12.75" customHeight="1" x14ac:dyDescent="0.25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4"/>
      <c r="S58" s="3"/>
      <c r="T58" s="57"/>
      <c r="U58" s="57"/>
      <c r="V58" s="57"/>
      <c r="W58" s="57"/>
      <c r="X58" s="57"/>
      <c r="Y58" s="57"/>
      <c r="Z58" s="57"/>
      <c r="AA58" s="57"/>
      <c r="AB58" s="57"/>
      <c r="AC58" s="57"/>
    </row>
    <row r="59" spans="1:29" s="66" customFormat="1" ht="12.75" customHeight="1" x14ac:dyDescent="0.25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4"/>
      <c r="S59" s="3"/>
      <c r="T59" s="57"/>
      <c r="U59" s="57"/>
      <c r="V59" s="57"/>
      <c r="W59" s="57"/>
      <c r="X59" s="57"/>
      <c r="Y59" s="57"/>
      <c r="Z59" s="57"/>
      <c r="AA59" s="57"/>
      <c r="AB59" s="57"/>
      <c r="AC59" s="57"/>
    </row>
    <row r="60" spans="1:29" s="66" customFormat="1" ht="12.75" customHeight="1" x14ac:dyDescent="0.25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4"/>
      <c r="S60" s="3"/>
      <c r="T60" s="57"/>
      <c r="U60" s="57"/>
      <c r="V60" s="57"/>
      <c r="W60" s="57"/>
      <c r="X60" s="57"/>
      <c r="Y60" s="57"/>
      <c r="Z60" s="57"/>
      <c r="AA60" s="57"/>
      <c r="AB60" s="57"/>
      <c r="AC60" s="57"/>
    </row>
    <row r="61" spans="1:29" s="66" customFormat="1" ht="12.75" customHeight="1" x14ac:dyDescent="0.25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4"/>
      <c r="S61" s="3"/>
      <c r="T61" s="57"/>
      <c r="U61" s="57"/>
      <c r="V61" s="57"/>
      <c r="W61" s="57"/>
      <c r="X61" s="57"/>
      <c r="Y61" s="57"/>
      <c r="Z61" s="57"/>
      <c r="AA61" s="57"/>
      <c r="AB61" s="57"/>
      <c r="AC61" s="57"/>
    </row>
    <row r="62" spans="1:29" s="66" customFormat="1" ht="12.75" customHeight="1" x14ac:dyDescent="0.25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4"/>
      <c r="S62" s="3"/>
      <c r="T62" s="57"/>
      <c r="U62" s="57"/>
      <c r="V62" s="57"/>
      <c r="W62" s="57"/>
      <c r="X62" s="57"/>
      <c r="Y62" s="57"/>
      <c r="Z62" s="57"/>
      <c r="AA62" s="57"/>
      <c r="AB62" s="57"/>
      <c r="AC62" s="57"/>
    </row>
    <row r="63" spans="1:29" s="66" customFormat="1" ht="12.75" customHeight="1" x14ac:dyDescent="0.25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4"/>
      <c r="S63" s="3"/>
      <c r="T63" s="57"/>
      <c r="U63" s="57"/>
      <c r="V63" s="57"/>
      <c r="W63" s="57"/>
      <c r="X63" s="57"/>
      <c r="Y63" s="57"/>
      <c r="Z63" s="57"/>
      <c r="AA63" s="57"/>
      <c r="AB63" s="57"/>
      <c r="AC63" s="57"/>
    </row>
    <row r="64" spans="1:29" s="66" customFormat="1" ht="12.75" customHeight="1" x14ac:dyDescent="0.25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4"/>
      <c r="S64" s="3"/>
      <c r="T64" s="57"/>
      <c r="U64" s="57"/>
      <c r="V64" s="57"/>
      <c r="W64" s="57"/>
      <c r="X64" s="57"/>
      <c r="Y64" s="57"/>
      <c r="Z64" s="57"/>
      <c r="AA64" s="57"/>
      <c r="AB64" s="57"/>
      <c r="AC64" s="57"/>
    </row>
    <row r="65" spans="1:29" s="66" customFormat="1" ht="12.75" customHeight="1" x14ac:dyDescent="0.25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4"/>
      <c r="S65" s="3"/>
      <c r="T65" s="57"/>
      <c r="U65" s="57"/>
      <c r="V65" s="57"/>
      <c r="W65" s="57"/>
      <c r="X65" s="57"/>
      <c r="Y65" s="57"/>
      <c r="Z65" s="57"/>
      <c r="AA65" s="57"/>
      <c r="AB65" s="57"/>
      <c r="AC65" s="57"/>
    </row>
    <row r="66" spans="1:29" s="66" customFormat="1" ht="12.75" customHeight="1" x14ac:dyDescent="0.25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4"/>
      <c r="S66" s="3"/>
      <c r="T66" s="57"/>
      <c r="U66" s="57"/>
      <c r="V66" s="57"/>
      <c r="W66" s="57"/>
      <c r="X66" s="57"/>
      <c r="Y66" s="57"/>
      <c r="Z66" s="57"/>
      <c r="AA66" s="57"/>
      <c r="AB66" s="57"/>
      <c r="AC66" s="57"/>
    </row>
    <row r="67" spans="1:29" s="66" customFormat="1" ht="12.75" customHeight="1" x14ac:dyDescent="0.25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4"/>
      <c r="S67" s="3"/>
      <c r="T67" s="57"/>
      <c r="U67" s="57"/>
      <c r="V67" s="57"/>
      <c r="W67" s="57"/>
      <c r="X67" s="57"/>
      <c r="Y67" s="57"/>
      <c r="Z67" s="57"/>
      <c r="AA67" s="57"/>
      <c r="AB67" s="57"/>
      <c r="AC67" s="57"/>
    </row>
    <row r="68" spans="1:29" s="66" customFormat="1" ht="12.75" customHeight="1" x14ac:dyDescent="0.25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4"/>
      <c r="S68" s="3"/>
      <c r="T68" s="57"/>
      <c r="U68" s="57"/>
      <c r="V68" s="57"/>
      <c r="W68" s="57"/>
      <c r="X68" s="57"/>
      <c r="Y68" s="57"/>
      <c r="Z68" s="57"/>
      <c r="AA68" s="57"/>
      <c r="AB68" s="57"/>
      <c r="AC68" s="57"/>
    </row>
    <row r="69" spans="1:29" s="66" customFormat="1" ht="12.75" customHeight="1" x14ac:dyDescent="0.25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4"/>
      <c r="S69" s="3"/>
      <c r="T69" s="57"/>
      <c r="U69" s="57"/>
      <c r="V69" s="57"/>
      <c r="W69" s="57"/>
      <c r="X69" s="57"/>
      <c r="Y69" s="57"/>
      <c r="Z69" s="57"/>
      <c r="AA69" s="57"/>
      <c r="AB69" s="57"/>
      <c r="AC69" s="57"/>
    </row>
    <row r="70" spans="1:29" s="66" customFormat="1" ht="12.75" customHeight="1" x14ac:dyDescent="0.25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4"/>
      <c r="S70" s="3"/>
      <c r="T70" s="57"/>
      <c r="U70" s="57"/>
      <c r="V70" s="57"/>
      <c r="W70" s="57"/>
      <c r="X70" s="57"/>
      <c r="Y70" s="57"/>
      <c r="Z70" s="57"/>
      <c r="AA70" s="57"/>
      <c r="AB70" s="57"/>
      <c r="AC70" s="57"/>
    </row>
    <row r="71" spans="1:29" s="66" customFormat="1" ht="12.75" customHeight="1" x14ac:dyDescent="0.25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4"/>
      <c r="S71" s="3"/>
      <c r="T71" s="57"/>
      <c r="U71" s="57"/>
      <c r="V71" s="57"/>
      <c r="W71" s="57"/>
      <c r="X71" s="57"/>
      <c r="Y71" s="57"/>
      <c r="Z71" s="57"/>
      <c r="AA71" s="57"/>
      <c r="AB71" s="57"/>
      <c r="AC71" s="57"/>
    </row>
    <row r="72" spans="1:29" s="66" customFormat="1" ht="12.75" customHeight="1" x14ac:dyDescent="0.25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4"/>
      <c r="S72" s="3"/>
      <c r="T72" s="57"/>
      <c r="U72" s="57"/>
      <c r="V72" s="57"/>
      <c r="W72" s="57"/>
      <c r="X72" s="57"/>
      <c r="Y72" s="57"/>
      <c r="Z72" s="57"/>
      <c r="AA72" s="57"/>
      <c r="AB72" s="57"/>
      <c r="AC72" s="57"/>
    </row>
    <row r="73" spans="1:29" s="66" customFormat="1" ht="12.75" customHeight="1" x14ac:dyDescent="0.25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4"/>
      <c r="S73" s="3"/>
      <c r="T73" s="57"/>
      <c r="U73" s="57"/>
      <c r="V73" s="57"/>
      <c r="W73" s="57"/>
      <c r="X73" s="57"/>
      <c r="Y73" s="57"/>
      <c r="Z73" s="57"/>
      <c r="AA73" s="57"/>
      <c r="AB73" s="57"/>
      <c r="AC73" s="57"/>
    </row>
    <row r="74" spans="1:29" s="66" customFormat="1" ht="12.75" customHeight="1" x14ac:dyDescent="0.25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4"/>
      <c r="S74" s="3"/>
      <c r="T74" s="57"/>
      <c r="U74" s="57"/>
      <c r="V74" s="57"/>
      <c r="W74" s="57"/>
      <c r="X74" s="57"/>
      <c r="Y74" s="57"/>
      <c r="Z74" s="57"/>
      <c r="AA74" s="57"/>
      <c r="AB74" s="57"/>
      <c r="AC74" s="57"/>
    </row>
    <row r="75" spans="1:29" s="66" customFormat="1" ht="12.75" customHeight="1" x14ac:dyDescent="0.25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4"/>
      <c r="S75" s="3"/>
      <c r="T75" s="57"/>
      <c r="U75" s="57"/>
      <c r="V75" s="57"/>
      <c r="W75" s="57"/>
      <c r="X75" s="57"/>
      <c r="Y75" s="57"/>
      <c r="Z75" s="57"/>
      <c r="AA75" s="57"/>
      <c r="AB75" s="57"/>
      <c r="AC75" s="57"/>
    </row>
    <row r="76" spans="1:29" s="66" customFormat="1" ht="12.75" customHeight="1" x14ac:dyDescent="0.25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4"/>
      <c r="S76" s="3"/>
      <c r="T76" s="57"/>
      <c r="U76" s="57"/>
      <c r="V76" s="57"/>
      <c r="W76" s="57"/>
      <c r="X76" s="57"/>
      <c r="Y76" s="57"/>
      <c r="Z76" s="57"/>
      <c r="AA76" s="57"/>
      <c r="AB76" s="57"/>
      <c r="AC76" s="57"/>
    </row>
    <row r="77" spans="1:29" s="66" customFormat="1" ht="12.75" customHeight="1" x14ac:dyDescent="0.25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4"/>
      <c r="S77" s="3"/>
      <c r="T77" s="57"/>
      <c r="U77" s="57"/>
      <c r="V77" s="57"/>
      <c r="W77" s="57"/>
      <c r="X77" s="57"/>
      <c r="Y77" s="57"/>
      <c r="Z77" s="57"/>
      <c r="AA77" s="57"/>
      <c r="AB77" s="57"/>
      <c r="AC77" s="57"/>
    </row>
    <row r="78" spans="1:29" s="66" customFormat="1" ht="12.75" customHeight="1" x14ac:dyDescent="0.25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4"/>
      <c r="S78" s="3"/>
      <c r="T78" s="57"/>
      <c r="U78" s="57"/>
      <c r="V78" s="57"/>
      <c r="W78" s="57"/>
      <c r="X78" s="57"/>
      <c r="Y78" s="57"/>
      <c r="Z78" s="57"/>
      <c r="AA78" s="57"/>
      <c r="AB78" s="57"/>
      <c r="AC78" s="57"/>
    </row>
    <row r="79" spans="1:29" s="66" customFormat="1" ht="12.75" customHeight="1" x14ac:dyDescent="0.25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4"/>
      <c r="S79" s="3"/>
      <c r="T79" s="57"/>
      <c r="U79" s="57"/>
      <c r="V79" s="57"/>
      <c r="W79" s="57"/>
      <c r="X79" s="57"/>
      <c r="Y79" s="57"/>
      <c r="Z79" s="57"/>
      <c r="AA79" s="57"/>
      <c r="AB79" s="57"/>
      <c r="AC79" s="57"/>
    </row>
    <row r="80" spans="1:29" s="66" customFormat="1" ht="12.75" customHeight="1" x14ac:dyDescent="0.25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4"/>
      <c r="S80" s="3"/>
      <c r="T80" s="57"/>
      <c r="U80" s="57"/>
      <c r="V80" s="57"/>
      <c r="W80" s="57"/>
      <c r="X80" s="57"/>
      <c r="Y80" s="57"/>
      <c r="Z80" s="57"/>
      <c r="AA80" s="57"/>
      <c r="AB80" s="57"/>
      <c r="AC80" s="57"/>
    </row>
    <row r="81" spans="1:29" s="66" customFormat="1" ht="12.75" customHeight="1" x14ac:dyDescent="0.25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4"/>
      <c r="S81" s="3"/>
      <c r="T81" s="57"/>
      <c r="U81" s="57"/>
      <c r="V81" s="57"/>
      <c r="W81" s="57"/>
      <c r="X81" s="57"/>
      <c r="Y81" s="57"/>
      <c r="Z81" s="57"/>
      <c r="AA81" s="57"/>
      <c r="AB81" s="57"/>
      <c r="AC81" s="57"/>
    </row>
    <row r="82" spans="1:29" s="66" customFormat="1" ht="12.75" customHeight="1" x14ac:dyDescent="0.25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4"/>
      <c r="S82" s="3"/>
      <c r="T82" s="57"/>
      <c r="U82" s="57"/>
      <c r="V82" s="57"/>
      <c r="W82" s="57"/>
      <c r="X82" s="57"/>
      <c r="Y82" s="57"/>
      <c r="Z82" s="57"/>
      <c r="AA82" s="57"/>
      <c r="AB82" s="57"/>
      <c r="AC82" s="57"/>
    </row>
    <row r="83" spans="1:29" s="66" customFormat="1" ht="12.75" customHeight="1" x14ac:dyDescent="0.25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4"/>
      <c r="S83" s="3"/>
      <c r="T83" s="57"/>
      <c r="U83" s="57"/>
      <c r="V83" s="57"/>
      <c r="W83" s="57"/>
      <c r="X83" s="57"/>
      <c r="Y83" s="57"/>
      <c r="Z83" s="57"/>
      <c r="AA83" s="57"/>
      <c r="AB83" s="57"/>
      <c r="AC83" s="57"/>
    </row>
    <row r="84" spans="1:29" s="66" customFormat="1" ht="12.75" customHeight="1" x14ac:dyDescent="0.25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4"/>
      <c r="S84" s="3"/>
      <c r="T84" s="57"/>
      <c r="U84" s="57"/>
      <c r="V84" s="57"/>
      <c r="W84" s="57"/>
      <c r="X84" s="57"/>
      <c r="Y84" s="57"/>
      <c r="Z84" s="57"/>
      <c r="AA84" s="57"/>
      <c r="AB84" s="57"/>
      <c r="AC84" s="57"/>
    </row>
    <row r="85" spans="1:29" s="66" customFormat="1" ht="12.75" customHeight="1" x14ac:dyDescent="0.25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4"/>
      <c r="S85" s="3"/>
      <c r="T85" s="57"/>
      <c r="U85" s="57"/>
      <c r="V85" s="57"/>
      <c r="W85" s="57"/>
      <c r="X85" s="57"/>
      <c r="Y85" s="57"/>
      <c r="Z85" s="57"/>
      <c r="AA85" s="57"/>
      <c r="AB85" s="57"/>
      <c r="AC85" s="57"/>
    </row>
    <row r="86" spans="1:29" s="66" customFormat="1" ht="12.75" customHeight="1" x14ac:dyDescent="0.25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4"/>
      <c r="S86" s="3"/>
      <c r="T86" s="57"/>
      <c r="U86" s="57"/>
      <c r="V86" s="57"/>
      <c r="W86" s="57"/>
      <c r="X86" s="57"/>
      <c r="Y86" s="57"/>
      <c r="Z86" s="57"/>
      <c r="AA86" s="57"/>
      <c r="AB86" s="57"/>
      <c r="AC86" s="57"/>
    </row>
    <row r="87" spans="1:29" s="66" customFormat="1" ht="12.75" customHeight="1" x14ac:dyDescent="0.25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4"/>
      <c r="S87" s="3"/>
      <c r="T87" s="57"/>
      <c r="U87" s="57"/>
      <c r="V87" s="57"/>
      <c r="W87" s="57"/>
      <c r="X87" s="57"/>
      <c r="Y87" s="57"/>
      <c r="Z87" s="57"/>
      <c r="AA87" s="57"/>
      <c r="AB87" s="57"/>
      <c r="AC87" s="57"/>
    </row>
    <row r="88" spans="1:29" s="66" customFormat="1" ht="12.75" customHeight="1" x14ac:dyDescent="0.25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4"/>
      <c r="S88" s="3"/>
      <c r="T88" s="57"/>
      <c r="U88" s="57"/>
      <c r="V88" s="57"/>
      <c r="W88" s="57"/>
      <c r="X88" s="57"/>
      <c r="Y88" s="57"/>
      <c r="Z88" s="57"/>
      <c r="AA88" s="57"/>
      <c r="AB88" s="57"/>
      <c r="AC88" s="57"/>
    </row>
    <row r="89" spans="1:29" s="66" customFormat="1" ht="12.75" customHeight="1" x14ac:dyDescent="0.25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4"/>
      <c r="S89" s="3"/>
      <c r="T89" s="57"/>
      <c r="U89" s="57"/>
      <c r="V89" s="57"/>
      <c r="W89" s="57"/>
      <c r="X89" s="57"/>
      <c r="Y89" s="57"/>
      <c r="Z89" s="57"/>
      <c r="AA89" s="57"/>
      <c r="AB89" s="57"/>
      <c r="AC89" s="57"/>
    </row>
    <row r="90" spans="1:29" s="66" customFormat="1" ht="12.75" customHeight="1" x14ac:dyDescent="0.25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4"/>
      <c r="S90" s="3"/>
      <c r="T90" s="57"/>
      <c r="U90" s="57"/>
      <c r="V90" s="57"/>
      <c r="W90" s="57"/>
      <c r="X90" s="57"/>
      <c r="Y90" s="57"/>
      <c r="Z90" s="57"/>
      <c r="AA90" s="57"/>
      <c r="AB90" s="57"/>
      <c r="AC90" s="57"/>
    </row>
    <row r="91" spans="1:29" s="66" customFormat="1" ht="12.75" customHeight="1" x14ac:dyDescent="0.25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4"/>
      <c r="S91" s="3"/>
      <c r="T91" s="57"/>
      <c r="U91" s="57"/>
      <c r="V91" s="57"/>
      <c r="W91" s="57"/>
      <c r="X91" s="57"/>
      <c r="Y91" s="57"/>
      <c r="Z91" s="57"/>
      <c r="AA91" s="57"/>
      <c r="AB91" s="57"/>
      <c r="AC91" s="57"/>
    </row>
    <row r="92" spans="1:29" s="66" customFormat="1" ht="12.75" customHeight="1" x14ac:dyDescent="0.25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4"/>
      <c r="S92" s="3"/>
      <c r="T92" s="57"/>
      <c r="U92" s="57"/>
      <c r="V92" s="57"/>
      <c r="W92" s="57"/>
      <c r="X92" s="57"/>
      <c r="Y92" s="57"/>
      <c r="Z92" s="57"/>
      <c r="AA92" s="57"/>
      <c r="AB92" s="57"/>
      <c r="AC92" s="57"/>
    </row>
    <row r="93" spans="1:29" s="66" customFormat="1" ht="12.75" customHeight="1" x14ac:dyDescent="0.25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4"/>
      <c r="S93" s="3"/>
      <c r="T93" s="57"/>
      <c r="U93" s="57"/>
      <c r="V93" s="57"/>
      <c r="W93" s="57"/>
      <c r="X93" s="57"/>
      <c r="Y93" s="57"/>
      <c r="Z93" s="57"/>
      <c r="AA93" s="57"/>
      <c r="AB93" s="57"/>
      <c r="AC93" s="57"/>
    </row>
    <row r="94" spans="1:29" s="66" customFormat="1" ht="12.75" customHeight="1" x14ac:dyDescent="0.25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4"/>
      <c r="S94" s="3"/>
      <c r="T94" s="57"/>
      <c r="U94" s="57"/>
      <c r="V94" s="57"/>
      <c r="W94" s="57"/>
      <c r="X94" s="57"/>
      <c r="Y94" s="57"/>
      <c r="Z94" s="57"/>
      <c r="AA94" s="57"/>
      <c r="AB94" s="57"/>
      <c r="AC94" s="57"/>
    </row>
    <row r="95" spans="1:29" s="66" customFormat="1" ht="12.75" customHeight="1" x14ac:dyDescent="0.25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4"/>
      <c r="S95" s="3"/>
      <c r="T95" s="57"/>
      <c r="U95" s="57"/>
      <c r="V95" s="57"/>
      <c r="W95" s="57"/>
      <c r="X95" s="57"/>
      <c r="Y95" s="57"/>
      <c r="Z95" s="57"/>
      <c r="AA95" s="57"/>
      <c r="AB95" s="57"/>
      <c r="AC95" s="57"/>
    </row>
    <row r="96" spans="1:29" s="66" customFormat="1" ht="12.75" customHeight="1" x14ac:dyDescent="0.25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4"/>
      <c r="S96" s="3"/>
      <c r="T96" s="57"/>
      <c r="U96" s="57"/>
      <c r="V96" s="57"/>
      <c r="W96" s="57"/>
      <c r="X96" s="57"/>
      <c r="Y96" s="57"/>
      <c r="Z96" s="57"/>
      <c r="AA96" s="57"/>
      <c r="AB96" s="57"/>
      <c r="AC96" s="57"/>
    </row>
    <row r="97" spans="1:29" s="66" customFormat="1" ht="12.75" customHeight="1" x14ac:dyDescent="0.25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4"/>
      <c r="S97" s="3"/>
      <c r="T97" s="57"/>
      <c r="U97" s="57"/>
      <c r="V97" s="57"/>
      <c r="W97" s="57"/>
      <c r="X97" s="57"/>
      <c r="Y97" s="57"/>
      <c r="Z97" s="57"/>
      <c r="AA97" s="57"/>
      <c r="AB97" s="57"/>
      <c r="AC97" s="57"/>
    </row>
    <row r="98" spans="1:29" s="66" customFormat="1" ht="12.75" customHeight="1" x14ac:dyDescent="0.25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4"/>
      <c r="S98" s="3"/>
      <c r="T98" s="57"/>
      <c r="U98" s="57"/>
      <c r="V98" s="57"/>
      <c r="W98" s="57"/>
      <c r="X98" s="57"/>
      <c r="Y98" s="57"/>
      <c r="Z98" s="57"/>
      <c r="AA98" s="57"/>
      <c r="AB98" s="57"/>
      <c r="AC98" s="57"/>
    </row>
    <row r="99" spans="1:29" s="66" customFormat="1" ht="12.75" customHeight="1" x14ac:dyDescent="0.25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4"/>
      <c r="S99" s="3"/>
      <c r="T99" s="57"/>
      <c r="U99" s="57"/>
      <c r="V99" s="57"/>
      <c r="W99" s="57"/>
      <c r="X99" s="57"/>
      <c r="Y99" s="57"/>
      <c r="Z99" s="57"/>
      <c r="AA99" s="57"/>
      <c r="AB99" s="57"/>
      <c r="AC99" s="57"/>
    </row>
    <row r="100" spans="1:29" s="66" customFormat="1" ht="12.75" customHeight="1" x14ac:dyDescent="0.25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4"/>
      <c r="S100" s="3"/>
      <c r="T100" s="57"/>
      <c r="U100" s="57"/>
      <c r="V100" s="57"/>
      <c r="W100" s="57"/>
      <c r="X100" s="57"/>
      <c r="Y100" s="57"/>
      <c r="Z100" s="57"/>
      <c r="AA100" s="57"/>
      <c r="AB100" s="57"/>
      <c r="AC100" s="57"/>
    </row>
    <row r="101" spans="1:29" s="66" customFormat="1" ht="12.75" customHeight="1" x14ac:dyDescent="0.25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4"/>
      <c r="S101" s="3"/>
      <c r="T101" s="57"/>
      <c r="U101" s="57"/>
      <c r="V101" s="57"/>
      <c r="W101" s="57"/>
      <c r="X101" s="57"/>
      <c r="Y101" s="57"/>
      <c r="Z101" s="57"/>
      <c r="AA101" s="57"/>
      <c r="AB101" s="57"/>
      <c r="AC101" s="57"/>
    </row>
    <row r="102" spans="1:29" s="66" customFormat="1" ht="12.75" customHeight="1" x14ac:dyDescent="0.25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4"/>
      <c r="S102" s="3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</row>
    <row r="103" spans="1:29" s="66" customFormat="1" ht="12.75" customHeight="1" x14ac:dyDescent="0.25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4"/>
      <c r="S103" s="3"/>
      <c r="T103" s="57"/>
      <c r="U103" s="57"/>
      <c r="V103" s="57"/>
      <c r="W103" s="57"/>
      <c r="X103" s="57"/>
      <c r="Y103" s="57"/>
      <c r="Z103" s="57"/>
      <c r="AA103" s="57"/>
      <c r="AB103" s="57"/>
      <c r="AC103" s="57"/>
    </row>
    <row r="104" spans="1:29" s="66" customFormat="1" ht="12.75" customHeight="1" x14ac:dyDescent="0.25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4"/>
      <c r="S104" s="3"/>
      <c r="T104" s="57"/>
      <c r="U104" s="57"/>
      <c r="V104" s="57"/>
      <c r="W104" s="57"/>
      <c r="X104" s="57"/>
      <c r="Y104" s="57"/>
      <c r="Z104" s="57"/>
      <c r="AA104" s="57"/>
      <c r="AB104" s="57"/>
      <c r="AC104" s="57"/>
    </row>
    <row r="105" spans="1:29" s="66" customFormat="1" ht="12.75" customHeight="1" x14ac:dyDescent="0.25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4"/>
      <c r="S105" s="3"/>
      <c r="T105" s="57"/>
      <c r="U105" s="57"/>
      <c r="V105" s="57"/>
      <c r="W105" s="57"/>
      <c r="X105" s="57"/>
      <c r="Y105" s="57"/>
      <c r="Z105" s="57"/>
      <c r="AA105" s="57"/>
      <c r="AB105" s="57"/>
      <c r="AC105" s="57"/>
    </row>
    <row r="106" spans="1:29" s="66" customFormat="1" ht="12.75" customHeight="1" x14ac:dyDescent="0.25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4"/>
      <c r="S106" s="3"/>
      <c r="T106" s="57"/>
      <c r="U106" s="57"/>
      <c r="V106" s="57"/>
      <c r="W106" s="57"/>
      <c r="X106" s="57"/>
      <c r="Y106" s="57"/>
      <c r="Z106" s="57"/>
      <c r="AA106" s="57"/>
      <c r="AB106" s="57"/>
      <c r="AC106" s="57"/>
    </row>
    <row r="107" spans="1:29" s="66" customFormat="1" ht="12.75" customHeight="1" x14ac:dyDescent="0.25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4"/>
      <c r="S107" s="3"/>
      <c r="T107" s="57"/>
      <c r="U107" s="57"/>
      <c r="V107" s="57"/>
      <c r="W107" s="57"/>
      <c r="X107" s="57"/>
      <c r="Y107" s="57"/>
      <c r="Z107" s="57"/>
      <c r="AA107" s="57"/>
      <c r="AB107" s="57"/>
      <c r="AC107" s="57"/>
    </row>
    <row r="108" spans="1:29" s="66" customFormat="1" ht="12.75" customHeight="1" x14ac:dyDescent="0.25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4"/>
      <c r="S108" s="3"/>
      <c r="T108" s="57"/>
      <c r="U108" s="57"/>
      <c r="V108" s="57"/>
      <c r="W108" s="57"/>
      <c r="X108" s="57"/>
      <c r="Y108" s="57"/>
      <c r="Z108" s="57"/>
      <c r="AA108" s="57"/>
      <c r="AB108" s="57"/>
      <c r="AC108" s="57"/>
    </row>
    <row r="109" spans="1:29" s="66" customFormat="1" ht="12.75" customHeight="1" x14ac:dyDescent="0.25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4"/>
      <c r="S109" s="3"/>
      <c r="T109" s="57"/>
      <c r="U109" s="57"/>
      <c r="V109" s="57"/>
      <c r="W109" s="57"/>
      <c r="X109" s="57"/>
      <c r="Y109" s="57"/>
      <c r="Z109" s="57"/>
      <c r="AA109" s="57"/>
      <c r="AB109" s="57"/>
      <c r="AC109" s="57"/>
    </row>
    <row r="110" spans="1:29" s="66" customFormat="1" ht="12.75" customHeight="1" x14ac:dyDescent="0.25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4"/>
      <c r="S110" s="3"/>
      <c r="T110" s="57"/>
      <c r="U110" s="57"/>
      <c r="V110" s="57"/>
      <c r="W110" s="57"/>
      <c r="X110" s="57"/>
      <c r="Y110" s="57"/>
      <c r="Z110" s="57"/>
      <c r="AA110" s="57"/>
      <c r="AB110" s="57"/>
      <c r="AC110" s="57"/>
    </row>
    <row r="111" spans="1:29" s="66" customFormat="1" ht="12.75" customHeight="1" x14ac:dyDescent="0.25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4"/>
      <c r="S111" s="3"/>
      <c r="T111" s="57"/>
      <c r="U111" s="57"/>
      <c r="V111" s="57"/>
      <c r="W111" s="57"/>
      <c r="X111" s="57"/>
      <c r="Y111" s="57"/>
      <c r="Z111" s="57"/>
      <c r="AA111" s="57"/>
      <c r="AB111" s="57"/>
      <c r="AC111" s="57"/>
    </row>
  </sheetData>
  <mergeCells count="1">
    <mergeCell ref="B1:J1"/>
  </mergeCells>
  <printOptions horizontalCentered="1" verticalCentered="1"/>
  <pageMargins left="0" right="0" top="0.19685039370078702" bottom="0.19685039370078755" header="0.19685039370078702" footer="0.15748031496063003"/>
  <pageSetup paperSize="0" scale="75" fitToWidth="0" fitToHeight="0" pageOrder="overThenDown" orientation="landscape" horizontalDpi="0" verticalDpi="0" copie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60D10-1509-4FD4-ACBA-D972E518D9F5}">
  <dimension ref="A1:AE115"/>
  <sheetViews>
    <sheetView workbookViewId="0">
      <selection activeCell="H22" sqref="H22"/>
    </sheetView>
  </sheetViews>
  <sheetFormatPr baseColWidth="10" defaultColWidth="10" defaultRowHeight="12.75" customHeight="1" x14ac:dyDescent="0.25"/>
  <cols>
    <col min="1" max="1" width="17.08203125" style="1" customWidth="1"/>
    <col min="2" max="2" width="8.58203125" style="3" customWidth="1"/>
    <col min="3" max="3" width="8.25" style="3" customWidth="1"/>
    <col min="4" max="4" width="7.33203125" style="3" customWidth="1"/>
    <col min="5" max="5" width="9.58203125" style="3" customWidth="1"/>
    <col min="6" max="6" width="7.75" style="3" customWidth="1"/>
    <col min="7" max="7" width="8.33203125" style="3" customWidth="1"/>
    <col min="8" max="8" width="7.33203125" style="3" customWidth="1"/>
    <col min="9" max="9" width="9.83203125" style="3" customWidth="1"/>
    <col min="10" max="10" width="7.08203125" style="3" customWidth="1"/>
    <col min="11" max="11" width="9.25" style="3" customWidth="1"/>
    <col min="12" max="14" width="7.33203125" style="3" customWidth="1"/>
    <col min="15" max="15" width="7.08203125" style="3" customWidth="1"/>
    <col min="16" max="16" width="6.08203125" style="3" customWidth="1"/>
    <col min="17" max="17" width="11.33203125" style="4" customWidth="1"/>
    <col min="18" max="18" width="7.83203125" style="3" customWidth="1"/>
    <col min="19" max="19" width="9.33203125" style="67" customWidth="1"/>
    <col min="20" max="20" width="8" style="67" customWidth="1"/>
    <col min="21" max="21" width="7.25" style="66" customWidth="1"/>
    <col min="22" max="22" width="8" style="67" customWidth="1"/>
    <col min="23" max="23" width="3.75" style="66" hidden="1" customWidth="1"/>
    <col min="24" max="24" width="10.25" style="66" hidden="1" customWidth="1"/>
    <col min="25" max="25" width="7.75" style="68" customWidth="1"/>
    <col min="26" max="26" width="7.83203125" style="65" customWidth="1"/>
    <col min="27" max="27" width="11" style="66" customWidth="1"/>
    <col min="28" max="28" width="7.33203125" style="66" customWidth="1"/>
    <col min="29" max="29" width="6.58203125" style="66" customWidth="1"/>
    <col min="30" max="30" width="10.58203125" style="66" customWidth="1"/>
    <col min="31" max="31" width="9.5" style="66" customWidth="1"/>
    <col min="32" max="32" width="10" style="57" customWidth="1"/>
    <col min="33" max="16384" width="10" style="57"/>
  </cols>
  <sheetData>
    <row r="1" spans="1:31" ht="20.149999999999999" customHeight="1" x14ac:dyDescent="0.25">
      <c r="B1" s="100" t="s">
        <v>81</v>
      </c>
      <c r="C1" s="100"/>
      <c r="D1" s="100"/>
      <c r="E1" s="100"/>
      <c r="F1" s="100"/>
      <c r="G1" s="100"/>
      <c r="H1" s="100"/>
      <c r="I1" s="100"/>
      <c r="J1" s="2"/>
      <c r="S1" s="57"/>
      <c r="T1" s="57"/>
      <c r="U1" s="57"/>
      <c r="V1" s="57"/>
      <c r="W1" s="57"/>
      <c r="X1" s="57"/>
      <c r="Y1" s="57"/>
    </row>
    <row r="2" spans="1:31" ht="11.15" customHeight="1" x14ac:dyDescent="0.25">
      <c r="S2" s="57"/>
      <c r="T2" s="57"/>
      <c r="U2" s="57"/>
      <c r="V2" s="57"/>
      <c r="W2" s="57"/>
      <c r="X2" s="57"/>
      <c r="Y2" s="57"/>
      <c r="AB2" s="57"/>
      <c r="AC2" s="57"/>
      <c r="AD2" s="57"/>
      <c r="AE2" s="57"/>
    </row>
    <row r="3" spans="1:31" ht="12.75" customHeight="1" x14ac:dyDescent="0.25">
      <c r="A3" s="5"/>
      <c r="B3" s="6" t="s">
        <v>83</v>
      </c>
      <c r="C3" s="6" t="s">
        <v>83</v>
      </c>
      <c r="D3" s="6" t="s">
        <v>36</v>
      </c>
      <c r="E3" s="6" t="s">
        <v>83</v>
      </c>
      <c r="F3" s="6" t="s">
        <v>36</v>
      </c>
      <c r="G3" s="6" t="s">
        <v>83</v>
      </c>
      <c r="H3" s="6" t="s">
        <v>36</v>
      </c>
      <c r="I3" s="6" t="s">
        <v>83</v>
      </c>
      <c r="J3" s="6" t="s">
        <v>36</v>
      </c>
      <c r="K3" s="6" t="s">
        <v>83</v>
      </c>
      <c r="L3" s="6" t="s">
        <v>36</v>
      </c>
      <c r="M3" s="6" t="s">
        <v>83</v>
      </c>
      <c r="N3" s="6" t="s">
        <v>36</v>
      </c>
      <c r="O3" s="6" t="s">
        <v>37</v>
      </c>
      <c r="P3" s="6" t="s">
        <v>38</v>
      </c>
      <c r="Q3" s="7" t="s">
        <v>3</v>
      </c>
      <c r="R3" s="6"/>
      <c r="S3" s="57"/>
      <c r="T3" s="57"/>
      <c r="U3" s="57"/>
      <c r="V3" s="57"/>
      <c r="W3" s="57"/>
      <c r="X3" s="57"/>
      <c r="Y3" s="57"/>
      <c r="Z3" s="57"/>
      <c r="AB3" s="57"/>
      <c r="AC3" s="57"/>
      <c r="AD3" s="57"/>
      <c r="AE3" s="57"/>
    </row>
    <row r="4" spans="1:31" ht="13.5" customHeight="1" x14ac:dyDescent="0.25">
      <c r="A4" s="8"/>
      <c r="B4" s="9">
        <v>1</v>
      </c>
      <c r="C4" s="9">
        <v>2</v>
      </c>
      <c r="D4" s="10" t="s">
        <v>39</v>
      </c>
      <c r="E4" s="9">
        <v>3</v>
      </c>
      <c r="F4" s="10" t="s">
        <v>39</v>
      </c>
      <c r="G4" s="9">
        <v>4</v>
      </c>
      <c r="H4" s="10" t="s">
        <v>39</v>
      </c>
      <c r="I4" s="9">
        <v>5</v>
      </c>
      <c r="J4" s="10" t="s">
        <v>39</v>
      </c>
      <c r="K4" s="9">
        <v>6</v>
      </c>
      <c r="L4" s="10" t="s">
        <v>39</v>
      </c>
      <c r="M4" s="9">
        <v>7</v>
      </c>
      <c r="N4" s="10" t="s">
        <v>39</v>
      </c>
      <c r="O4" s="10" t="s">
        <v>36</v>
      </c>
      <c r="P4" s="9" t="s">
        <v>83</v>
      </c>
      <c r="Q4" s="8"/>
      <c r="R4" s="9" t="s">
        <v>40</v>
      </c>
      <c r="S4" s="57"/>
      <c r="T4" s="57"/>
      <c r="U4" s="57"/>
      <c r="V4" s="57"/>
      <c r="W4" s="57"/>
      <c r="X4" s="57"/>
      <c r="Y4" s="57"/>
      <c r="Z4" s="57"/>
      <c r="AA4" s="65"/>
      <c r="AB4" s="57"/>
      <c r="AC4" s="57"/>
      <c r="AD4" s="57"/>
      <c r="AE4" s="57"/>
    </row>
    <row r="5" spans="1:31" ht="11.25" customHeight="1" x14ac:dyDescent="0.25">
      <c r="A5" s="8"/>
      <c r="B5" s="10" t="s">
        <v>41</v>
      </c>
      <c r="C5" s="10" t="s">
        <v>42</v>
      </c>
      <c r="D5" s="9">
        <v>2</v>
      </c>
      <c r="E5" s="10" t="s">
        <v>43</v>
      </c>
      <c r="F5" s="9">
        <v>3</v>
      </c>
      <c r="G5" s="10" t="s">
        <v>44</v>
      </c>
      <c r="H5" s="9">
        <v>4</v>
      </c>
      <c r="I5" s="10" t="s">
        <v>45</v>
      </c>
      <c r="J5" s="9">
        <v>5</v>
      </c>
      <c r="K5" s="10" t="s">
        <v>46</v>
      </c>
      <c r="L5" s="9">
        <v>6</v>
      </c>
      <c r="M5" s="10" t="s">
        <v>47</v>
      </c>
      <c r="N5" s="9">
        <v>7</v>
      </c>
      <c r="O5" s="10" t="s">
        <v>48</v>
      </c>
      <c r="P5" s="9"/>
      <c r="Q5" s="8"/>
      <c r="R5" s="9" t="s">
        <v>49</v>
      </c>
      <c r="S5" s="57"/>
      <c r="T5" s="57"/>
      <c r="U5" s="57"/>
      <c r="V5" s="57"/>
      <c r="W5" s="57"/>
      <c r="X5" s="57"/>
      <c r="Y5" s="57"/>
      <c r="Z5" s="57"/>
      <c r="AA5" s="65"/>
      <c r="AB5" s="57"/>
      <c r="AC5" s="57"/>
      <c r="AD5" s="57"/>
      <c r="AE5" s="57"/>
    </row>
    <row r="6" spans="1:31" ht="13.5" customHeight="1" x14ac:dyDescent="0.25">
      <c r="A6" s="11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 t="s">
        <v>83</v>
      </c>
      <c r="P6" s="12"/>
      <c r="Q6" s="13"/>
      <c r="R6" s="12"/>
      <c r="S6" s="57"/>
      <c r="T6" s="57"/>
      <c r="U6" s="57"/>
      <c r="V6" s="57"/>
      <c r="W6" s="57"/>
      <c r="X6" s="57"/>
      <c r="Y6" s="57"/>
      <c r="Z6" s="57"/>
      <c r="AB6" s="57"/>
      <c r="AC6" s="57"/>
      <c r="AD6" s="57"/>
      <c r="AE6" s="57"/>
    </row>
    <row r="7" spans="1:31" ht="12.75" customHeight="1" x14ac:dyDescent="0.25">
      <c r="A7" s="5" t="s">
        <v>50</v>
      </c>
      <c r="B7" s="6">
        <v>321</v>
      </c>
      <c r="C7" s="6">
        <v>1322</v>
      </c>
      <c r="D7" s="6"/>
      <c r="E7" s="6">
        <v>3159</v>
      </c>
      <c r="F7" s="6"/>
      <c r="G7" s="6">
        <v>579</v>
      </c>
      <c r="H7" s="6"/>
      <c r="I7" s="6">
        <v>189</v>
      </c>
      <c r="J7" s="6"/>
      <c r="K7" s="6">
        <v>200</v>
      </c>
      <c r="L7" s="6"/>
      <c r="M7" s="6"/>
      <c r="N7" s="6"/>
      <c r="O7" s="6"/>
      <c r="P7" s="6">
        <v>12</v>
      </c>
      <c r="Q7" s="14">
        <f t="shared" ref="Q7:Q18" si="0">SUM(B7:P7)</f>
        <v>5782</v>
      </c>
      <c r="R7" s="6">
        <v>21</v>
      </c>
      <c r="S7" s="57"/>
      <c r="T7" s="57"/>
      <c r="U7" s="57"/>
      <c r="V7" s="57"/>
      <c r="W7" s="57"/>
      <c r="X7" s="57"/>
      <c r="Y7" s="57"/>
      <c r="Z7" s="57"/>
      <c r="AB7" s="57"/>
      <c r="AC7" s="57"/>
      <c r="AD7" s="57"/>
      <c r="AE7" s="57"/>
    </row>
    <row r="8" spans="1:31" ht="12.75" customHeight="1" x14ac:dyDescent="0.25">
      <c r="A8" s="15" t="s">
        <v>51</v>
      </c>
      <c r="B8" s="10">
        <v>330</v>
      </c>
      <c r="C8" s="10">
        <v>1368</v>
      </c>
      <c r="D8" s="10"/>
      <c r="E8" s="10">
        <v>3447</v>
      </c>
      <c r="F8" s="10">
        <v>2</v>
      </c>
      <c r="G8" s="10">
        <v>566</v>
      </c>
      <c r="H8" s="10">
        <v>3</v>
      </c>
      <c r="I8" s="10">
        <v>196</v>
      </c>
      <c r="J8" s="10"/>
      <c r="K8" s="10">
        <v>239</v>
      </c>
      <c r="L8" s="10"/>
      <c r="M8" s="10"/>
      <c r="N8" s="10"/>
      <c r="O8" s="10"/>
      <c r="P8" s="10">
        <v>7</v>
      </c>
      <c r="Q8" s="9">
        <f t="shared" si="0"/>
        <v>6158</v>
      </c>
      <c r="R8" s="10">
        <v>20</v>
      </c>
      <c r="S8" s="57"/>
      <c r="T8" s="57"/>
      <c r="U8" s="57"/>
      <c r="V8" s="57"/>
      <c r="W8" s="57"/>
      <c r="X8" s="57"/>
      <c r="Y8" s="57"/>
      <c r="Z8" s="57"/>
      <c r="AB8" s="57"/>
      <c r="AC8" s="57"/>
      <c r="AD8" s="57"/>
      <c r="AE8" s="57"/>
    </row>
    <row r="9" spans="1:31" ht="12.75" customHeight="1" x14ac:dyDescent="0.25">
      <c r="A9" s="15" t="s">
        <v>52</v>
      </c>
      <c r="B9" s="10">
        <v>391</v>
      </c>
      <c r="C9" s="10">
        <v>1691</v>
      </c>
      <c r="D9" s="10"/>
      <c r="E9" s="10">
        <v>4059</v>
      </c>
      <c r="F9" s="10">
        <v>1</v>
      </c>
      <c r="G9" s="10">
        <v>701</v>
      </c>
      <c r="H9" s="10">
        <v>5</v>
      </c>
      <c r="I9" s="10">
        <v>251</v>
      </c>
      <c r="J9" s="10"/>
      <c r="K9" s="10">
        <v>257</v>
      </c>
      <c r="L9" s="10"/>
      <c r="M9" s="10"/>
      <c r="N9" s="10"/>
      <c r="O9" s="10"/>
      <c r="P9" s="10">
        <v>13</v>
      </c>
      <c r="Q9" s="9">
        <f t="shared" si="0"/>
        <v>7369</v>
      </c>
      <c r="R9" s="10">
        <v>23</v>
      </c>
      <c r="S9" s="57"/>
      <c r="T9" s="57"/>
      <c r="U9" s="57"/>
      <c r="V9" s="57"/>
      <c r="W9" s="57"/>
      <c r="X9" s="57"/>
      <c r="Y9" s="57"/>
      <c r="Z9" s="57"/>
      <c r="AA9" s="57"/>
      <c r="AB9" s="57"/>
    </row>
    <row r="10" spans="1:31" ht="12.75" customHeight="1" x14ac:dyDescent="0.25">
      <c r="A10" s="15" t="s">
        <v>53</v>
      </c>
      <c r="B10" s="10">
        <v>299</v>
      </c>
      <c r="C10" s="10">
        <v>1162</v>
      </c>
      <c r="D10" s="10"/>
      <c r="E10" s="10">
        <v>2680</v>
      </c>
      <c r="F10" s="10"/>
      <c r="G10" s="10">
        <v>480</v>
      </c>
      <c r="H10" s="10">
        <v>1</v>
      </c>
      <c r="I10" s="10">
        <v>162</v>
      </c>
      <c r="J10" s="10"/>
      <c r="K10" s="10">
        <v>173</v>
      </c>
      <c r="L10" s="10"/>
      <c r="M10" s="10"/>
      <c r="N10" s="10"/>
      <c r="O10" s="10"/>
      <c r="P10" s="10">
        <v>2</v>
      </c>
      <c r="Q10" s="9">
        <f t="shared" si="0"/>
        <v>4959</v>
      </c>
      <c r="R10" s="10">
        <v>20</v>
      </c>
      <c r="S10" s="57"/>
      <c r="T10" s="57"/>
      <c r="U10" s="57"/>
      <c r="V10" s="57"/>
      <c r="W10" s="57"/>
      <c r="X10" s="57"/>
      <c r="Y10" s="57"/>
      <c r="Z10" s="57"/>
      <c r="AA10" s="57"/>
      <c r="AB10" s="57"/>
    </row>
    <row r="11" spans="1:31" ht="12.75" customHeight="1" x14ac:dyDescent="0.25">
      <c r="A11" s="15" t="s">
        <v>54</v>
      </c>
      <c r="B11" s="10">
        <v>370</v>
      </c>
      <c r="C11" s="10">
        <v>1361</v>
      </c>
      <c r="D11" s="10">
        <v>2</v>
      </c>
      <c r="E11" s="10">
        <v>3448</v>
      </c>
      <c r="F11" s="10">
        <v>2</v>
      </c>
      <c r="G11" s="10">
        <v>608</v>
      </c>
      <c r="H11" s="10">
        <v>3</v>
      </c>
      <c r="I11" s="10">
        <v>207</v>
      </c>
      <c r="J11" s="10"/>
      <c r="K11" s="10">
        <v>219</v>
      </c>
      <c r="L11" s="10">
        <v>1</v>
      </c>
      <c r="M11" s="10"/>
      <c r="N11" s="10"/>
      <c r="O11" s="10">
        <v>2</v>
      </c>
      <c r="P11" s="10">
        <v>3</v>
      </c>
      <c r="Q11" s="9">
        <f t="shared" si="0"/>
        <v>6226</v>
      </c>
      <c r="R11" s="10">
        <v>21</v>
      </c>
      <c r="S11" s="57"/>
      <c r="T11" s="57"/>
      <c r="U11" s="57"/>
      <c r="V11" s="57"/>
      <c r="W11" s="57"/>
      <c r="X11" s="57"/>
      <c r="Y11" s="57"/>
      <c r="Z11" s="57"/>
      <c r="AA11" s="57"/>
      <c r="AB11" s="57"/>
    </row>
    <row r="12" spans="1:31" ht="12.75" customHeight="1" x14ac:dyDescent="0.25">
      <c r="A12" s="15" t="s">
        <v>55</v>
      </c>
      <c r="B12" s="10">
        <v>446</v>
      </c>
      <c r="C12" s="10">
        <v>1264</v>
      </c>
      <c r="D12" s="10">
        <v>4</v>
      </c>
      <c r="E12" s="10">
        <v>3788</v>
      </c>
      <c r="F12" s="10">
        <v>5</v>
      </c>
      <c r="G12" s="10">
        <v>580</v>
      </c>
      <c r="H12" s="10">
        <v>1</v>
      </c>
      <c r="I12" s="10">
        <v>211</v>
      </c>
      <c r="J12" s="10"/>
      <c r="K12" s="10">
        <v>265</v>
      </c>
      <c r="L12" s="10"/>
      <c r="M12" s="10"/>
      <c r="N12" s="10"/>
      <c r="O12" s="10">
        <v>1</v>
      </c>
      <c r="P12" s="10">
        <v>5</v>
      </c>
      <c r="Q12" s="9">
        <f t="shared" si="0"/>
        <v>6570</v>
      </c>
      <c r="R12" s="10">
        <v>21</v>
      </c>
      <c r="S12" s="57"/>
      <c r="T12" s="57"/>
      <c r="U12" s="57"/>
      <c r="V12" s="57"/>
      <c r="W12" s="57"/>
      <c r="X12" s="57"/>
      <c r="Y12" s="57"/>
      <c r="Z12" s="57"/>
      <c r="AA12" s="57"/>
      <c r="AB12" s="57"/>
    </row>
    <row r="13" spans="1:31" ht="12.75" customHeight="1" x14ac:dyDescent="0.25">
      <c r="A13" s="15" t="s">
        <v>56</v>
      </c>
      <c r="B13" s="10">
        <v>306</v>
      </c>
      <c r="C13" s="10">
        <v>1008</v>
      </c>
      <c r="D13" s="10">
        <v>4</v>
      </c>
      <c r="E13" s="10">
        <v>2965</v>
      </c>
      <c r="F13" s="10">
        <v>1</v>
      </c>
      <c r="G13" s="10">
        <v>429</v>
      </c>
      <c r="H13" s="10"/>
      <c r="I13" s="10">
        <v>115</v>
      </c>
      <c r="J13" s="10"/>
      <c r="K13" s="10">
        <v>186</v>
      </c>
      <c r="L13" s="10"/>
      <c r="M13" s="10"/>
      <c r="N13" s="10"/>
      <c r="O13" s="10"/>
      <c r="P13" s="10">
        <v>8</v>
      </c>
      <c r="Q13" s="9">
        <f t="shared" si="0"/>
        <v>5022</v>
      </c>
      <c r="R13" s="10">
        <v>20</v>
      </c>
      <c r="S13" s="57"/>
      <c r="T13" s="57"/>
      <c r="U13" s="57"/>
      <c r="V13" s="57"/>
      <c r="W13" s="57"/>
      <c r="X13" s="57"/>
      <c r="Y13" s="57"/>
      <c r="Z13" s="57"/>
      <c r="AA13" s="57"/>
      <c r="AB13" s="57"/>
    </row>
    <row r="14" spans="1:31" ht="12.75" customHeight="1" x14ac:dyDescent="0.25">
      <c r="A14" s="15" t="s">
        <v>57</v>
      </c>
      <c r="B14" s="10">
        <v>364</v>
      </c>
      <c r="C14" s="10">
        <v>950</v>
      </c>
      <c r="D14" s="10">
        <v>1</v>
      </c>
      <c r="E14" s="10">
        <v>2385</v>
      </c>
      <c r="F14" s="10">
        <v>1</v>
      </c>
      <c r="G14" s="10">
        <v>368</v>
      </c>
      <c r="H14" s="10"/>
      <c r="I14" s="10">
        <v>150</v>
      </c>
      <c r="J14" s="10"/>
      <c r="K14" s="10">
        <v>150</v>
      </c>
      <c r="L14" s="10"/>
      <c r="M14" s="10"/>
      <c r="N14" s="10"/>
      <c r="O14" s="10"/>
      <c r="P14" s="10">
        <v>3</v>
      </c>
      <c r="Q14" s="9">
        <f t="shared" si="0"/>
        <v>4372</v>
      </c>
      <c r="R14" s="10">
        <v>22</v>
      </c>
      <c r="S14" s="57"/>
      <c r="T14" s="57"/>
      <c r="U14" s="57"/>
      <c r="V14" s="57"/>
      <c r="W14" s="57"/>
      <c r="X14" s="57"/>
      <c r="Y14" s="57"/>
      <c r="Z14" s="57"/>
      <c r="AA14" s="57"/>
      <c r="AB14" s="57"/>
    </row>
    <row r="15" spans="1:31" ht="12.75" customHeight="1" x14ac:dyDescent="0.25">
      <c r="A15" s="15" t="s">
        <v>58</v>
      </c>
      <c r="B15" s="10">
        <v>362</v>
      </c>
      <c r="C15" s="10">
        <v>1311</v>
      </c>
      <c r="D15" s="10">
        <v>11</v>
      </c>
      <c r="E15" s="10">
        <v>4708</v>
      </c>
      <c r="F15" s="10">
        <v>5</v>
      </c>
      <c r="G15" s="10">
        <v>435</v>
      </c>
      <c r="H15" s="10"/>
      <c r="I15" s="10">
        <v>303</v>
      </c>
      <c r="J15" s="10"/>
      <c r="K15" s="10">
        <v>257</v>
      </c>
      <c r="L15" s="10"/>
      <c r="M15" s="10">
        <v>249</v>
      </c>
      <c r="N15" s="10"/>
      <c r="O15" s="10">
        <v>4</v>
      </c>
      <c r="P15" s="10">
        <v>7</v>
      </c>
      <c r="Q15" s="9">
        <f t="shared" si="0"/>
        <v>7652</v>
      </c>
      <c r="R15" s="10">
        <v>22</v>
      </c>
      <c r="S15" s="57"/>
      <c r="T15" s="57"/>
      <c r="U15" s="57"/>
      <c r="V15" s="57"/>
      <c r="W15" s="57"/>
      <c r="X15" s="57"/>
      <c r="Y15" s="57"/>
      <c r="Z15" s="57"/>
      <c r="AA15" s="57"/>
      <c r="AB15" s="57"/>
    </row>
    <row r="16" spans="1:31" ht="12.75" customHeight="1" x14ac:dyDescent="0.25">
      <c r="A16" s="15" t="s">
        <v>59</v>
      </c>
      <c r="B16" s="10">
        <v>340</v>
      </c>
      <c r="C16" s="10">
        <v>1352</v>
      </c>
      <c r="D16" s="10">
        <v>12</v>
      </c>
      <c r="E16" s="10">
        <v>4146</v>
      </c>
      <c r="F16" s="10">
        <v>12</v>
      </c>
      <c r="G16" s="10">
        <v>429</v>
      </c>
      <c r="H16" s="10">
        <v>4</v>
      </c>
      <c r="I16" s="10">
        <v>283</v>
      </c>
      <c r="J16" s="10"/>
      <c r="K16" s="10">
        <v>210</v>
      </c>
      <c r="L16" s="10"/>
      <c r="M16" s="10">
        <v>212</v>
      </c>
      <c r="N16" s="10"/>
      <c r="O16" s="10">
        <v>5</v>
      </c>
      <c r="P16" s="10">
        <v>3</v>
      </c>
      <c r="Q16" s="9">
        <f t="shared" si="0"/>
        <v>7008</v>
      </c>
      <c r="R16" s="10">
        <v>21</v>
      </c>
      <c r="S16" s="57"/>
      <c r="T16" s="57"/>
      <c r="U16" s="57"/>
      <c r="V16" s="57"/>
      <c r="W16" s="57"/>
      <c r="X16" s="57"/>
      <c r="Y16" s="57"/>
      <c r="Z16" s="57"/>
      <c r="AA16" s="57"/>
      <c r="AB16" s="57"/>
    </row>
    <row r="17" spans="1:28" ht="12.75" customHeight="1" x14ac:dyDescent="0.25">
      <c r="A17" s="15" t="s">
        <v>60</v>
      </c>
      <c r="B17" s="10">
        <v>396</v>
      </c>
      <c r="C17" s="10">
        <v>1598</v>
      </c>
      <c r="D17" s="10">
        <v>21</v>
      </c>
      <c r="E17" s="10">
        <v>4119</v>
      </c>
      <c r="F17" s="10">
        <v>15</v>
      </c>
      <c r="G17" s="10">
        <v>392</v>
      </c>
      <c r="H17" s="10">
        <v>3</v>
      </c>
      <c r="I17" s="10">
        <v>302</v>
      </c>
      <c r="J17" s="10"/>
      <c r="K17" s="10">
        <v>216</v>
      </c>
      <c r="L17" s="10"/>
      <c r="M17" s="10">
        <v>211</v>
      </c>
      <c r="N17" s="10"/>
      <c r="O17" s="10">
        <v>12</v>
      </c>
      <c r="P17" s="10">
        <v>8</v>
      </c>
      <c r="Q17" s="9">
        <f t="shared" si="0"/>
        <v>7293</v>
      </c>
      <c r="R17" s="10">
        <v>20</v>
      </c>
      <c r="S17" s="57"/>
      <c r="T17" s="57"/>
      <c r="U17" s="57"/>
      <c r="V17" s="57"/>
      <c r="W17" s="57"/>
      <c r="X17" s="57"/>
      <c r="Y17" s="57"/>
      <c r="Z17" s="57"/>
      <c r="AA17" s="57"/>
      <c r="AB17" s="57"/>
    </row>
    <row r="18" spans="1:28" ht="12.75" customHeight="1" x14ac:dyDescent="0.25">
      <c r="A18" s="15" t="s">
        <v>61</v>
      </c>
      <c r="B18" s="10">
        <v>368</v>
      </c>
      <c r="C18" s="10">
        <v>1271</v>
      </c>
      <c r="D18" s="10">
        <v>20</v>
      </c>
      <c r="E18" s="10">
        <v>3461</v>
      </c>
      <c r="F18" s="10">
        <v>28</v>
      </c>
      <c r="G18" s="10">
        <v>362</v>
      </c>
      <c r="H18" s="10">
        <v>5</v>
      </c>
      <c r="I18" s="10">
        <v>263</v>
      </c>
      <c r="J18" s="10">
        <v>1</v>
      </c>
      <c r="K18" s="10">
        <v>176</v>
      </c>
      <c r="L18" s="10"/>
      <c r="M18" s="10">
        <v>183</v>
      </c>
      <c r="N18" s="10">
        <v>1</v>
      </c>
      <c r="O18" s="10">
        <v>19</v>
      </c>
      <c r="P18" s="10">
        <v>4</v>
      </c>
      <c r="Q18" s="9">
        <f t="shared" si="0"/>
        <v>6162</v>
      </c>
      <c r="R18" s="10">
        <v>22</v>
      </c>
      <c r="S18" s="57"/>
      <c r="T18" s="57"/>
      <c r="U18" s="57"/>
      <c r="V18" s="57"/>
      <c r="W18" s="57"/>
      <c r="X18" s="57"/>
      <c r="Y18" s="57"/>
      <c r="Z18" s="57"/>
      <c r="AA18" s="57"/>
      <c r="AB18" s="57"/>
    </row>
    <row r="19" spans="1:28" ht="12.75" customHeight="1" x14ac:dyDescent="0.25">
      <c r="A19" s="15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9"/>
      <c r="R19" s="10"/>
      <c r="S19" s="57"/>
      <c r="T19" s="57"/>
      <c r="U19" s="57"/>
      <c r="V19" s="57"/>
      <c r="W19" s="57"/>
      <c r="X19" s="57"/>
      <c r="Y19" s="57"/>
      <c r="Z19" s="57"/>
      <c r="AA19" s="57"/>
      <c r="AB19" s="57"/>
    </row>
    <row r="20" spans="1:28" ht="12.75" customHeight="1" x14ac:dyDescent="0.25">
      <c r="A20" s="16" t="s">
        <v>3</v>
      </c>
      <c r="B20" s="17">
        <f t="shared" ref="B20:R20" si="1">SUM(B7:B19)</f>
        <v>4293</v>
      </c>
      <c r="C20" s="17">
        <f t="shared" si="1"/>
        <v>15658</v>
      </c>
      <c r="D20" s="17">
        <f t="shared" si="1"/>
        <v>75</v>
      </c>
      <c r="E20" s="17">
        <f t="shared" si="1"/>
        <v>42365</v>
      </c>
      <c r="F20" s="17">
        <f t="shared" si="1"/>
        <v>72</v>
      </c>
      <c r="G20" s="17">
        <f t="shared" si="1"/>
        <v>5929</v>
      </c>
      <c r="H20" s="17">
        <f t="shared" si="1"/>
        <v>25</v>
      </c>
      <c r="I20" s="17">
        <f t="shared" si="1"/>
        <v>2632</v>
      </c>
      <c r="J20" s="17">
        <f t="shared" si="1"/>
        <v>1</v>
      </c>
      <c r="K20" s="17">
        <f t="shared" si="1"/>
        <v>2548</v>
      </c>
      <c r="L20" s="17">
        <f t="shared" si="1"/>
        <v>1</v>
      </c>
      <c r="M20" s="17">
        <f t="shared" si="1"/>
        <v>855</v>
      </c>
      <c r="N20" s="17">
        <f t="shared" si="1"/>
        <v>1</v>
      </c>
      <c r="O20" s="17">
        <f t="shared" si="1"/>
        <v>43</v>
      </c>
      <c r="P20" s="17">
        <f t="shared" si="1"/>
        <v>75</v>
      </c>
      <c r="Q20" s="18">
        <f t="shared" si="1"/>
        <v>74573</v>
      </c>
      <c r="R20" s="17">
        <f t="shared" si="1"/>
        <v>253</v>
      </c>
      <c r="S20" s="57"/>
      <c r="T20" s="57"/>
      <c r="U20" s="57"/>
      <c r="V20" s="57"/>
      <c r="W20" s="57"/>
      <c r="X20" s="57"/>
      <c r="Y20" s="57"/>
      <c r="Z20" s="57"/>
      <c r="AA20" s="57"/>
      <c r="AB20" s="57"/>
    </row>
    <row r="21" spans="1:28" ht="12.75" customHeight="1" x14ac:dyDescent="0.25">
      <c r="S21" s="57"/>
      <c r="T21" s="57"/>
      <c r="U21" s="57"/>
      <c r="V21" s="57"/>
      <c r="W21" s="57"/>
      <c r="X21" s="57"/>
      <c r="Y21" s="57"/>
      <c r="Z21" s="57"/>
      <c r="AA21" s="57"/>
      <c r="AB21" s="57"/>
    </row>
    <row r="22" spans="1:28" ht="12.75" customHeight="1" x14ac:dyDescent="0.25">
      <c r="Q22" s="4" t="s">
        <v>34</v>
      </c>
      <c r="R22" s="19">
        <f>Q20/R20</f>
        <v>294.75494071146244</v>
      </c>
      <c r="S22" s="57"/>
      <c r="T22" s="57"/>
      <c r="U22" s="57"/>
      <c r="V22" s="57"/>
      <c r="W22" s="57"/>
      <c r="X22" s="57"/>
      <c r="Y22" s="57"/>
      <c r="Z22" s="57"/>
      <c r="AA22" s="57"/>
      <c r="AB22" s="57"/>
    </row>
    <row r="23" spans="1:28" ht="12.75" customHeight="1" x14ac:dyDescent="0.25">
      <c r="S23" s="57"/>
      <c r="T23" s="57"/>
      <c r="U23" s="57"/>
      <c r="V23" s="57"/>
      <c r="W23" s="57"/>
      <c r="X23" s="57"/>
      <c r="Y23" s="57"/>
      <c r="Z23" s="57"/>
      <c r="AA23" s="57"/>
      <c r="AB23" s="57"/>
    </row>
    <row r="24" spans="1:28" s="66" customFormat="1" ht="12.75" customHeight="1" x14ac:dyDescent="0.25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4"/>
      <c r="R24" s="3"/>
      <c r="S24" s="57"/>
      <c r="T24" s="57"/>
      <c r="U24" s="57"/>
      <c r="V24" s="57"/>
      <c r="W24" s="57"/>
      <c r="X24" s="57"/>
      <c r="Y24" s="57"/>
      <c r="Z24" s="57"/>
      <c r="AA24" s="57"/>
      <c r="AB24" s="57"/>
    </row>
    <row r="25" spans="1:28" s="66" customFormat="1" ht="12.75" customHeight="1" x14ac:dyDescent="0.25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4"/>
      <c r="R25" s="3"/>
      <c r="S25" s="57"/>
      <c r="T25" s="57"/>
      <c r="U25" s="57"/>
      <c r="V25" s="57"/>
      <c r="W25" s="57"/>
      <c r="X25" s="57"/>
      <c r="Y25" s="57"/>
      <c r="Z25" s="57"/>
      <c r="AA25" s="57"/>
      <c r="AB25" s="57"/>
    </row>
    <row r="26" spans="1:28" s="66" customFormat="1" ht="12.75" customHeight="1" x14ac:dyDescent="0.25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4"/>
      <c r="R26" s="3"/>
      <c r="S26" s="57"/>
      <c r="T26" s="57"/>
      <c r="U26" s="57"/>
      <c r="V26" s="57"/>
      <c r="W26" s="57"/>
      <c r="X26" s="57"/>
      <c r="Y26" s="57"/>
      <c r="Z26" s="57"/>
      <c r="AA26" s="57"/>
      <c r="AB26" s="57"/>
    </row>
    <row r="27" spans="1:28" s="66" customFormat="1" ht="12.75" customHeight="1" x14ac:dyDescent="0.25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4"/>
      <c r="R27" s="3"/>
      <c r="S27" s="57"/>
      <c r="T27" s="57"/>
      <c r="U27" s="57"/>
      <c r="V27" s="57"/>
      <c r="W27" s="57"/>
      <c r="X27" s="57"/>
      <c r="Y27" s="57"/>
      <c r="Z27" s="57"/>
      <c r="AA27" s="57"/>
      <c r="AB27" s="57"/>
    </row>
    <row r="28" spans="1:28" s="66" customFormat="1" ht="12.75" customHeight="1" x14ac:dyDescent="0.25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4"/>
      <c r="R28" s="3"/>
      <c r="S28" s="57"/>
      <c r="T28" s="57"/>
      <c r="U28" s="57"/>
      <c r="V28" s="57"/>
      <c r="W28" s="57"/>
      <c r="X28" s="57"/>
      <c r="Y28" s="57"/>
      <c r="Z28" s="57"/>
      <c r="AA28" s="57"/>
      <c r="AB28" s="57"/>
    </row>
    <row r="29" spans="1:28" s="66" customFormat="1" ht="12.75" customHeight="1" x14ac:dyDescent="0.25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4"/>
      <c r="R29" s="3"/>
      <c r="S29" s="57"/>
      <c r="T29" s="57"/>
      <c r="U29" s="57"/>
      <c r="V29" s="57"/>
      <c r="W29" s="57"/>
      <c r="X29" s="57"/>
      <c r="Y29" s="57"/>
      <c r="Z29" s="57"/>
      <c r="AA29" s="57"/>
      <c r="AB29" s="57"/>
    </row>
    <row r="30" spans="1:28" s="66" customFormat="1" ht="12.75" customHeight="1" x14ac:dyDescent="0.25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4"/>
      <c r="R30" s="3"/>
      <c r="S30" s="57"/>
      <c r="T30" s="57"/>
      <c r="U30" s="57"/>
      <c r="V30" s="57"/>
      <c r="W30" s="57"/>
      <c r="X30" s="57"/>
      <c r="Y30" s="57"/>
      <c r="Z30" s="57"/>
      <c r="AA30" s="57"/>
      <c r="AB30" s="57"/>
    </row>
    <row r="31" spans="1:28" s="66" customFormat="1" ht="12.75" customHeight="1" x14ac:dyDescent="0.25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4"/>
      <c r="R31" s="3"/>
      <c r="S31" s="57"/>
      <c r="T31" s="57"/>
      <c r="U31" s="57"/>
      <c r="V31" s="57"/>
      <c r="W31" s="57"/>
      <c r="X31" s="57"/>
      <c r="Y31" s="57"/>
      <c r="Z31" s="57"/>
      <c r="AA31" s="57"/>
      <c r="AB31" s="57"/>
    </row>
    <row r="32" spans="1:28" s="66" customFormat="1" ht="12.75" customHeight="1" x14ac:dyDescent="0.25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4"/>
      <c r="R32" s="3"/>
      <c r="S32" s="57"/>
      <c r="T32" s="57"/>
      <c r="U32" s="57"/>
      <c r="V32" s="57"/>
      <c r="W32" s="57"/>
      <c r="X32" s="57"/>
      <c r="Y32" s="57"/>
      <c r="Z32" s="57"/>
      <c r="AA32" s="57"/>
      <c r="AB32" s="57"/>
    </row>
    <row r="33" spans="1:28" s="66" customFormat="1" ht="12.75" customHeight="1" x14ac:dyDescent="0.25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4"/>
      <c r="R33" s="3"/>
      <c r="S33" s="57"/>
      <c r="T33" s="57"/>
      <c r="U33" s="57"/>
      <c r="V33" s="57"/>
      <c r="W33" s="57"/>
      <c r="X33" s="57"/>
      <c r="Y33" s="57"/>
      <c r="Z33" s="57"/>
      <c r="AA33" s="57"/>
      <c r="AB33" s="57"/>
    </row>
    <row r="34" spans="1:28" s="66" customFormat="1" ht="12.75" customHeight="1" x14ac:dyDescent="0.25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4"/>
      <c r="R34" s="3"/>
      <c r="S34" s="57"/>
      <c r="T34" s="57"/>
      <c r="U34" s="57"/>
      <c r="V34" s="57"/>
      <c r="W34" s="57"/>
      <c r="X34" s="57"/>
      <c r="Y34" s="57"/>
      <c r="Z34" s="57"/>
      <c r="AA34" s="57"/>
      <c r="AB34" s="57"/>
    </row>
    <row r="35" spans="1:28" s="66" customFormat="1" ht="12.75" customHeight="1" x14ac:dyDescent="0.25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4"/>
      <c r="R35" s="3"/>
      <c r="S35" s="57"/>
      <c r="T35" s="57"/>
      <c r="U35" s="57"/>
      <c r="V35" s="57"/>
      <c r="W35" s="57"/>
      <c r="X35" s="57"/>
      <c r="Y35" s="57"/>
      <c r="Z35" s="57"/>
      <c r="AA35" s="57"/>
      <c r="AB35" s="57"/>
    </row>
    <row r="36" spans="1:28" s="66" customFormat="1" ht="12.75" customHeight="1" x14ac:dyDescent="0.25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4"/>
      <c r="R36" s="3"/>
      <c r="S36" s="57"/>
      <c r="T36" s="57"/>
      <c r="U36" s="57"/>
      <c r="V36" s="57"/>
      <c r="W36" s="57"/>
      <c r="X36" s="57"/>
      <c r="Y36" s="57"/>
      <c r="Z36" s="57"/>
      <c r="AA36" s="57"/>
      <c r="AB36" s="57"/>
    </row>
    <row r="37" spans="1:28" s="66" customFormat="1" ht="12.75" customHeight="1" x14ac:dyDescent="0.25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4"/>
      <c r="R37" s="3"/>
      <c r="S37" s="57"/>
      <c r="T37" s="57"/>
      <c r="U37" s="57"/>
      <c r="V37" s="57"/>
      <c r="W37" s="57"/>
      <c r="X37" s="57"/>
      <c r="Y37" s="57"/>
      <c r="Z37" s="57"/>
      <c r="AA37" s="57"/>
      <c r="AB37" s="57"/>
    </row>
    <row r="38" spans="1:28" s="66" customFormat="1" ht="12.75" customHeight="1" x14ac:dyDescent="0.25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4"/>
      <c r="R38" s="3"/>
      <c r="S38" s="57"/>
      <c r="T38" s="57"/>
      <c r="U38" s="57"/>
      <c r="V38" s="57"/>
      <c r="W38" s="57"/>
      <c r="X38" s="57"/>
      <c r="Y38" s="57"/>
      <c r="Z38" s="57"/>
      <c r="AA38" s="57"/>
      <c r="AB38" s="57"/>
    </row>
    <row r="39" spans="1:28" s="66" customFormat="1" ht="12.75" customHeight="1" x14ac:dyDescent="0.25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4"/>
      <c r="R39" s="3"/>
      <c r="S39" s="57"/>
      <c r="T39" s="57"/>
      <c r="U39" s="57"/>
      <c r="V39" s="57"/>
      <c r="W39" s="57"/>
      <c r="X39" s="57"/>
      <c r="Y39" s="57"/>
      <c r="Z39" s="57"/>
      <c r="AA39" s="57"/>
      <c r="AB39" s="57"/>
    </row>
    <row r="40" spans="1:28" s="66" customFormat="1" ht="12.75" customHeight="1" x14ac:dyDescent="0.25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4"/>
      <c r="R40" s="3"/>
      <c r="S40" s="57"/>
      <c r="T40" s="57"/>
      <c r="U40" s="57"/>
      <c r="V40" s="57"/>
      <c r="W40" s="57"/>
      <c r="X40" s="57"/>
      <c r="Y40" s="57"/>
      <c r="Z40" s="57"/>
      <c r="AA40" s="57"/>
      <c r="AB40" s="57"/>
    </row>
    <row r="41" spans="1:28" s="66" customFormat="1" ht="12.75" customHeight="1" x14ac:dyDescent="0.25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4"/>
      <c r="R41" s="3"/>
      <c r="S41" s="57"/>
      <c r="T41" s="57"/>
      <c r="U41" s="57"/>
      <c r="V41" s="57"/>
      <c r="W41" s="57"/>
      <c r="X41" s="57"/>
      <c r="Y41" s="57"/>
      <c r="Z41" s="57"/>
      <c r="AA41" s="57"/>
      <c r="AB41" s="57"/>
    </row>
    <row r="42" spans="1:28" s="66" customFormat="1" ht="12.75" customHeight="1" x14ac:dyDescent="0.25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4"/>
      <c r="R42" s="3"/>
      <c r="S42" s="57"/>
      <c r="T42" s="57"/>
      <c r="U42" s="57"/>
      <c r="V42" s="57"/>
      <c r="W42" s="57"/>
      <c r="X42" s="57"/>
      <c r="Y42" s="57"/>
      <c r="Z42" s="57"/>
      <c r="AA42" s="57"/>
      <c r="AB42" s="57"/>
    </row>
    <row r="43" spans="1:28" s="66" customFormat="1" ht="12.75" customHeight="1" x14ac:dyDescent="0.25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4"/>
      <c r="R43" s="3"/>
      <c r="S43" s="57"/>
      <c r="T43" s="57"/>
      <c r="U43" s="57"/>
      <c r="V43" s="57"/>
      <c r="W43" s="57"/>
      <c r="X43" s="57"/>
      <c r="Y43" s="57"/>
      <c r="Z43" s="57"/>
      <c r="AA43" s="57"/>
      <c r="AB43" s="57"/>
    </row>
    <row r="44" spans="1:28" s="66" customFormat="1" ht="12.75" customHeight="1" x14ac:dyDescent="0.25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4"/>
      <c r="R44" s="3"/>
      <c r="S44" s="57"/>
      <c r="T44" s="57"/>
      <c r="U44" s="57"/>
      <c r="V44" s="57"/>
      <c r="W44" s="57"/>
      <c r="X44" s="57"/>
      <c r="Y44" s="57"/>
      <c r="Z44" s="57"/>
      <c r="AA44" s="57"/>
      <c r="AB44" s="57"/>
    </row>
    <row r="45" spans="1:28" s="66" customFormat="1" ht="12.75" customHeight="1" x14ac:dyDescent="0.25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4"/>
      <c r="R45" s="3"/>
      <c r="S45" s="57"/>
      <c r="T45" s="57"/>
      <c r="U45" s="57"/>
      <c r="V45" s="57"/>
      <c r="W45" s="57"/>
      <c r="X45" s="57"/>
      <c r="Y45" s="57"/>
      <c r="Z45" s="57"/>
      <c r="AA45" s="57"/>
      <c r="AB45" s="57"/>
    </row>
    <row r="46" spans="1:28" s="66" customFormat="1" ht="12.75" customHeight="1" x14ac:dyDescent="0.25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4"/>
      <c r="R46" s="3"/>
      <c r="S46" s="57"/>
      <c r="T46" s="57"/>
      <c r="U46" s="57"/>
      <c r="V46" s="57"/>
      <c r="W46" s="57"/>
      <c r="X46" s="57"/>
      <c r="Y46" s="57"/>
      <c r="Z46" s="57"/>
      <c r="AA46" s="57"/>
      <c r="AB46" s="57"/>
    </row>
    <row r="47" spans="1:28" s="66" customFormat="1" ht="12.75" customHeight="1" x14ac:dyDescent="0.25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4"/>
      <c r="R47" s="3"/>
      <c r="S47" s="57"/>
      <c r="T47" s="57"/>
      <c r="U47" s="57"/>
      <c r="V47" s="57"/>
      <c r="W47" s="57"/>
      <c r="X47" s="57"/>
      <c r="Y47" s="57"/>
      <c r="Z47" s="57"/>
      <c r="AA47" s="57"/>
      <c r="AB47" s="57"/>
    </row>
    <row r="48" spans="1:28" s="66" customFormat="1" ht="12.75" customHeight="1" x14ac:dyDescent="0.25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4"/>
      <c r="R48" s="3"/>
      <c r="S48" s="57"/>
      <c r="T48" s="57"/>
      <c r="U48" s="57"/>
      <c r="V48" s="57"/>
      <c r="W48" s="57"/>
      <c r="X48" s="57"/>
      <c r="Y48" s="57"/>
      <c r="Z48" s="57"/>
      <c r="AA48" s="57"/>
      <c r="AB48" s="57"/>
    </row>
    <row r="49" spans="1:28" s="66" customFormat="1" ht="12.75" customHeight="1" x14ac:dyDescent="0.25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4"/>
      <c r="R49" s="3"/>
      <c r="S49" s="57"/>
      <c r="T49" s="57"/>
      <c r="U49" s="57"/>
      <c r="V49" s="57"/>
      <c r="W49" s="57"/>
      <c r="X49" s="57"/>
      <c r="Y49" s="57"/>
      <c r="Z49" s="57"/>
      <c r="AA49" s="57"/>
      <c r="AB49" s="57"/>
    </row>
    <row r="50" spans="1:28" s="66" customFormat="1" ht="12.75" customHeight="1" x14ac:dyDescent="0.25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4"/>
      <c r="R50" s="3"/>
      <c r="S50" s="57"/>
      <c r="T50" s="57"/>
      <c r="U50" s="57"/>
      <c r="V50" s="57"/>
      <c r="W50" s="57"/>
      <c r="X50" s="57"/>
      <c r="Y50" s="57"/>
      <c r="Z50" s="57"/>
      <c r="AA50" s="57"/>
      <c r="AB50" s="57"/>
    </row>
    <row r="51" spans="1:28" s="66" customFormat="1" ht="12.75" customHeight="1" x14ac:dyDescent="0.25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4"/>
      <c r="R51" s="3"/>
      <c r="S51" s="57"/>
      <c r="T51" s="57"/>
      <c r="U51" s="57"/>
      <c r="V51" s="57"/>
      <c r="W51" s="57"/>
      <c r="X51" s="57"/>
      <c r="Y51" s="57"/>
      <c r="Z51" s="57"/>
      <c r="AA51" s="57"/>
      <c r="AB51" s="57"/>
    </row>
    <row r="52" spans="1:28" s="66" customFormat="1" ht="12.75" customHeight="1" x14ac:dyDescent="0.25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4"/>
      <c r="R52" s="3"/>
      <c r="S52" s="57"/>
      <c r="T52" s="57"/>
      <c r="U52" s="57"/>
      <c r="V52" s="57"/>
      <c r="W52" s="57"/>
      <c r="X52" s="57"/>
      <c r="Y52" s="57"/>
      <c r="Z52" s="57"/>
      <c r="AA52" s="57"/>
      <c r="AB52" s="57"/>
    </row>
    <row r="53" spans="1:28" s="66" customFormat="1" ht="12.75" customHeight="1" x14ac:dyDescent="0.25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4"/>
      <c r="R53" s="3"/>
      <c r="S53" s="57"/>
      <c r="T53" s="57"/>
      <c r="U53" s="57"/>
      <c r="V53" s="57"/>
      <c r="W53" s="57"/>
      <c r="X53" s="57"/>
      <c r="Y53" s="57"/>
      <c r="Z53" s="57"/>
      <c r="AA53" s="57"/>
      <c r="AB53" s="57"/>
    </row>
    <row r="54" spans="1:28" s="66" customFormat="1" ht="12.75" customHeight="1" x14ac:dyDescent="0.25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4"/>
      <c r="R54" s="3"/>
      <c r="S54" s="57"/>
      <c r="T54" s="57"/>
      <c r="U54" s="57"/>
      <c r="V54" s="57"/>
      <c r="W54" s="57"/>
      <c r="X54" s="57"/>
      <c r="Y54" s="57"/>
      <c r="Z54" s="57"/>
      <c r="AA54" s="57"/>
      <c r="AB54" s="57"/>
    </row>
    <row r="55" spans="1:28" s="66" customFormat="1" ht="12.75" customHeight="1" x14ac:dyDescent="0.25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4"/>
      <c r="R55" s="3"/>
      <c r="S55" s="57"/>
      <c r="T55" s="57"/>
      <c r="U55" s="57"/>
      <c r="V55" s="57"/>
      <c r="W55" s="57"/>
      <c r="X55" s="57"/>
      <c r="Y55" s="57"/>
      <c r="Z55" s="57"/>
      <c r="AA55" s="57"/>
      <c r="AB55" s="57"/>
    </row>
    <row r="56" spans="1:28" s="66" customFormat="1" ht="12.75" customHeight="1" x14ac:dyDescent="0.25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4"/>
      <c r="R56" s="3"/>
      <c r="S56" s="57"/>
      <c r="T56" s="57"/>
      <c r="U56" s="57"/>
      <c r="V56" s="57"/>
      <c r="W56" s="57"/>
      <c r="X56" s="57"/>
      <c r="Y56" s="57"/>
      <c r="Z56" s="57"/>
      <c r="AA56" s="57"/>
      <c r="AB56" s="57"/>
    </row>
    <row r="57" spans="1:28" s="66" customFormat="1" ht="12.75" customHeight="1" x14ac:dyDescent="0.25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4"/>
      <c r="R57" s="3"/>
      <c r="S57" s="57"/>
      <c r="T57" s="57"/>
      <c r="U57" s="57"/>
      <c r="V57" s="57"/>
      <c r="W57" s="57"/>
      <c r="X57" s="57"/>
      <c r="Y57" s="57"/>
      <c r="Z57" s="57"/>
      <c r="AA57" s="57"/>
      <c r="AB57" s="57"/>
    </row>
    <row r="58" spans="1:28" s="66" customFormat="1" ht="12.75" customHeight="1" x14ac:dyDescent="0.25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4"/>
      <c r="R58" s="3"/>
      <c r="S58" s="57"/>
      <c r="T58" s="57"/>
      <c r="U58" s="57"/>
      <c r="V58" s="57"/>
      <c r="W58" s="57"/>
      <c r="X58" s="57"/>
      <c r="Y58" s="57"/>
      <c r="Z58" s="57"/>
      <c r="AA58" s="57"/>
      <c r="AB58" s="57"/>
    </row>
    <row r="59" spans="1:28" s="66" customFormat="1" ht="12.75" customHeight="1" x14ac:dyDescent="0.25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4"/>
      <c r="R59" s="3"/>
      <c r="S59" s="57"/>
      <c r="T59" s="57"/>
      <c r="U59" s="57"/>
      <c r="V59" s="57"/>
      <c r="W59" s="57"/>
      <c r="X59" s="57"/>
      <c r="Y59" s="57"/>
      <c r="Z59" s="57"/>
      <c r="AA59" s="57"/>
      <c r="AB59" s="57"/>
    </row>
    <row r="60" spans="1:28" s="66" customFormat="1" ht="12.75" customHeight="1" x14ac:dyDescent="0.25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4"/>
      <c r="R60" s="3"/>
      <c r="S60" s="57"/>
      <c r="T60" s="57"/>
      <c r="U60" s="57"/>
      <c r="V60" s="57"/>
      <c r="W60" s="57"/>
      <c r="X60" s="57"/>
      <c r="Y60" s="57"/>
      <c r="Z60" s="57"/>
      <c r="AA60" s="57"/>
      <c r="AB60" s="57"/>
    </row>
    <row r="61" spans="1:28" s="66" customFormat="1" ht="12.75" customHeight="1" x14ac:dyDescent="0.25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4"/>
      <c r="R61" s="3"/>
      <c r="S61" s="57"/>
      <c r="T61" s="57"/>
      <c r="U61" s="57"/>
      <c r="V61" s="57"/>
      <c r="W61" s="57"/>
      <c r="X61" s="57"/>
      <c r="Y61" s="57"/>
      <c r="Z61" s="57"/>
      <c r="AA61" s="57"/>
      <c r="AB61" s="57"/>
    </row>
    <row r="62" spans="1:28" s="66" customFormat="1" ht="12.75" customHeight="1" x14ac:dyDescent="0.25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4"/>
      <c r="R62" s="3"/>
      <c r="S62" s="57"/>
      <c r="T62" s="57"/>
      <c r="U62" s="57"/>
      <c r="V62" s="57"/>
      <c r="W62" s="57"/>
      <c r="X62" s="57"/>
      <c r="Y62" s="57"/>
      <c r="Z62" s="57"/>
      <c r="AA62" s="57"/>
      <c r="AB62" s="57"/>
    </row>
    <row r="63" spans="1:28" s="66" customFormat="1" ht="12.75" customHeight="1" x14ac:dyDescent="0.25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4"/>
      <c r="R63" s="3"/>
      <c r="S63" s="57"/>
      <c r="T63" s="57"/>
      <c r="U63" s="57"/>
      <c r="V63" s="57"/>
      <c r="W63" s="57"/>
      <c r="X63" s="57"/>
      <c r="Y63" s="57"/>
      <c r="Z63" s="57"/>
      <c r="AA63" s="57"/>
      <c r="AB63" s="57"/>
    </row>
    <row r="64" spans="1:28" s="66" customFormat="1" ht="12.75" customHeight="1" x14ac:dyDescent="0.25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4"/>
      <c r="R64" s="3"/>
      <c r="S64" s="57"/>
      <c r="T64" s="57"/>
      <c r="U64" s="57"/>
      <c r="V64" s="57"/>
      <c r="W64" s="57"/>
      <c r="X64" s="57"/>
      <c r="Y64" s="57"/>
      <c r="Z64" s="57"/>
      <c r="AA64" s="57"/>
      <c r="AB64" s="57"/>
    </row>
    <row r="65" spans="1:28" s="66" customFormat="1" ht="12.75" customHeight="1" x14ac:dyDescent="0.25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4"/>
      <c r="R65" s="3"/>
      <c r="S65" s="57"/>
      <c r="T65" s="57"/>
      <c r="U65" s="57"/>
      <c r="V65" s="57"/>
      <c r="W65" s="57"/>
      <c r="X65" s="57"/>
      <c r="Y65" s="57"/>
      <c r="Z65" s="57"/>
      <c r="AA65" s="57"/>
      <c r="AB65" s="57"/>
    </row>
    <row r="66" spans="1:28" s="66" customFormat="1" ht="12.75" customHeight="1" x14ac:dyDescent="0.25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4"/>
      <c r="R66" s="3"/>
      <c r="S66" s="57"/>
      <c r="T66" s="57"/>
      <c r="U66" s="57"/>
      <c r="V66" s="57"/>
      <c r="W66" s="57"/>
      <c r="X66" s="57"/>
      <c r="Y66" s="57"/>
      <c r="Z66" s="57"/>
      <c r="AA66" s="57"/>
      <c r="AB66" s="57"/>
    </row>
    <row r="67" spans="1:28" s="66" customFormat="1" ht="12.75" customHeight="1" x14ac:dyDescent="0.25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4"/>
      <c r="R67" s="3"/>
      <c r="S67" s="57"/>
      <c r="T67" s="57"/>
      <c r="U67" s="57"/>
      <c r="V67" s="57"/>
      <c r="W67" s="57"/>
      <c r="X67" s="57"/>
      <c r="Y67" s="57"/>
      <c r="Z67" s="57"/>
      <c r="AA67" s="57"/>
      <c r="AB67" s="57"/>
    </row>
    <row r="68" spans="1:28" s="66" customFormat="1" ht="12.75" customHeight="1" x14ac:dyDescent="0.25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4"/>
      <c r="R68" s="3"/>
      <c r="S68" s="57"/>
      <c r="T68" s="57"/>
      <c r="U68" s="57"/>
      <c r="V68" s="57"/>
      <c r="W68" s="57"/>
      <c r="X68" s="57"/>
      <c r="Y68" s="57"/>
      <c r="Z68" s="57"/>
      <c r="AA68" s="57"/>
      <c r="AB68" s="57"/>
    </row>
    <row r="69" spans="1:28" s="66" customFormat="1" ht="12.75" customHeight="1" x14ac:dyDescent="0.25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4"/>
      <c r="R69" s="3"/>
      <c r="S69" s="57"/>
      <c r="T69" s="57"/>
      <c r="U69" s="57"/>
      <c r="V69" s="57"/>
      <c r="W69" s="57"/>
      <c r="X69" s="57"/>
      <c r="Y69" s="57"/>
      <c r="Z69" s="57"/>
      <c r="AA69" s="57"/>
      <c r="AB69" s="57"/>
    </row>
    <row r="70" spans="1:28" s="66" customFormat="1" ht="12.75" customHeight="1" x14ac:dyDescent="0.25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4"/>
      <c r="R70" s="3"/>
      <c r="S70" s="57"/>
      <c r="T70" s="57"/>
      <c r="U70" s="57"/>
      <c r="V70" s="57"/>
      <c r="W70" s="57"/>
      <c r="X70" s="57"/>
      <c r="Y70" s="57"/>
      <c r="Z70" s="57"/>
      <c r="AA70" s="57"/>
      <c r="AB70" s="57"/>
    </row>
    <row r="71" spans="1:28" s="66" customFormat="1" ht="12.75" customHeight="1" x14ac:dyDescent="0.25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4"/>
      <c r="R71" s="3"/>
      <c r="S71" s="57"/>
      <c r="T71" s="57"/>
      <c r="U71" s="57"/>
      <c r="V71" s="57"/>
      <c r="W71" s="57"/>
      <c r="X71" s="57"/>
      <c r="Y71" s="57"/>
      <c r="Z71" s="57"/>
      <c r="AA71" s="57"/>
      <c r="AB71" s="57"/>
    </row>
    <row r="72" spans="1:28" s="66" customFormat="1" ht="12.75" customHeight="1" x14ac:dyDescent="0.25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4"/>
      <c r="R72" s="3"/>
      <c r="S72" s="57"/>
      <c r="T72" s="57"/>
      <c r="U72" s="57"/>
      <c r="V72" s="57"/>
      <c r="W72" s="57"/>
      <c r="X72" s="57"/>
      <c r="Y72" s="57"/>
      <c r="Z72" s="57"/>
      <c r="AA72" s="57"/>
      <c r="AB72" s="57"/>
    </row>
    <row r="73" spans="1:28" s="66" customFormat="1" ht="12.75" customHeight="1" x14ac:dyDescent="0.25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4"/>
      <c r="R73" s="3"/>
      <c r="S73" s="57"/>
      <c r="T73" s="57"/>
      <c r="U73" s="57"/>
      <c r="V73" s="57"/>
      <c r="W73" s="57"/>
      <c r="X73" s="57"/>
      <c r="Y73" s="57"/>
      <c r="Z73" s="57"/>
      <c r="AA73" s="57"/>
      <c r="AB73" s="57"/>
    </row>
    <row r="74" spans="1:28" s="66" customFormat="1" ht="12.75" customHeight="1" x14ac:dyDescent="0.25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4"/>
      <c r="R74" s="3"/>
      <c r="S74" s="57"/>
      <c r="T74" s="57"/>
      <c r="U74" s="57"/>
      <c r="V74" s="57"/>
      <c r="W74" s="57"/>
      <c r="X74" s="57"/>
      <c r="Y74" s="57"/>
      <c r="Z74" s="57"/>
      <c r="AA74" s="57"/>
      <c r="AB74" s="57"/>
    </row>
    <row r="75" spans="1:28" s="66" customFormat="1" ht="12.75" customHeight="1" x14ac:dyDescent="0.25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4"/>
      <c r="R75" s="3"/>
      <c r="S75" s="57"/>
      <c r="T75" s="57"/>
      <c r="U75" s="57"/>
      <c r="V75" s="57"/>
      <c r="W75" s="57"/>
      <c r="X75" s="57"/>
      <c r="Y75" s="57"/>
      <c r="Z75" s="57"/>
      <c r="AA75" s="57"/>
      <c r="AB75" s="57"/>
    </row>
    <row r="76" spans="1:28" s="66" customFormat="1" ht="12.75" customHeight="1" x14ac:dyDescent="0.25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4"/>
      <c r="R76" s="3"/>
      <c r="S76" s="57"/>
      <c r="T76" s="57"/>
      <c r="U76" s="57"/>
      <c r="V76" s="57"/>
      <c r="W76" s="57"/>
      <c r="X76" s="57"/>
      <c r="Y76" s="57"/>
      <c r="Z76" s="57"/>
      <c r="AA76" s="57"/>
      <c r="AB76" s="57"/>
    </row>
    <row r="77" spans="1:28" s="66" customFormat="1" ht="12.75" customHeight="1" x14ac:dyDescent="0.25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4"/>
      <c r="R77" s="3"/>
      <c r="S77" s="57"/>
      <c r="T77" s="57"/>
      <c r="U77" s="57"/>
      <c r="V77" s="57"/>
      <c r="W77" s="57"/>
      <c r="X77" s="57"/>
      <c r="Y77" s="57"/>
      <c r="Z77" s="57"/>
      <c r="AA77" s="57"/>
      <c r="AB77" s="57"/>
    </row>
    <row r="78" spans="1:28" s="66" customFormat="1" ht="12.75" customHeight="1" x14ac:dyDescent="0.25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4"/>
      <c r="R78" s="3"/>
      <c r="S78" s="57"/>
      <c r="T78" s="57"/>
      <c r="U78" s="57"/>
      <c r="V78" s="57"/>
      <c r="W78" s="57"/>
      <c r="X78" s="57"/>
      <c r="Y78" s="57"/>
      <c r="Z78" s="57"/>
      <c r="AA78" s="57"/>
      <c r="AB78" s="57"/>
    </row>
    <row r="79" spans="1:28" s="66" customFormat="1" ht="12.75" customHeight="1" x14ac:dyDescent="0.25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4"/>
      <c r="R79" s="3"/>
      <c r="S79" s="57"/>
      <c r="T79" s="57"/>
      <c r="U79" s="57"/>
      <c r="V79" s="57"/>
      <c r="W79" s="57"/>
      <c r="X79" s="57"/>
      <c r="Y79" s="57"/>
      <c r="Z79" s="57"/>
      <c r="AA79" s="57"/>
      <c r="AB79" s="57"/>
    </row>
    <row r="80" spans="1:28" s="66" customFormat="1" ht="12.75" customHeight="1" x14ac:dyDescent="0.25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4"/>
      <c r="R80" s="3"/>
      <c r="S80" s="57"/>
      <c r="T80" s="57"/>
      <c r="U80" s="57"/>
      <c r="V80" s="57"/>
      <c r="W80" s="57"/>
      <c r="X80" s="57"/>
      <c r="Y80" s="57"/>
      <c r="Z80" s="57"/>
      <c r="AA80" s="57"/>
      <c r="AB80" s="57"/>
    </row>
    <row r="81" spans="1:28" s="66" customFormat="1" ht="12.75" customHeight="1" x14ac:dyDescent="0.25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4"/>
      <c r="R81" s="3"/>
      <c r="S81" s="57"/>
      <c r="T81" s="57"/>
      <c r="U81" s="57"/>
      <c r="V81" s="57"/>
      <c r="W81" s="57"/>
      <c r="X81" s="57"/>
      <c r="Y81" s="57"/>
      <c r="Z81" s="57"/>
      <c r="AA81" s="57"/>
      <c r="AB81" s="57"/>
    </row>
    <row r="82" spans="1:28" s="66" customFormat="1" ht="12.75" customHeight="1" x14ac:dyDescent="0.25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4"/>
      <c r="R82" s="3"/>
      <c r="S82" s="57"/>
      <c r="T82" s="57"/>
      <c r="U82" s="57"/>
      <c r="V82" s="57"/>
      <c r="W82" s="57"/>
      <c r="X82" s="57"/>
      <c r="Y82" s="57"/>
      <c r="Z82" s="57"/>
      <c r="AA82" s="57"/>
      <c r="AB82" s="57"/>
    </row>
    <row r="83" spans="1:28" s="66" customFormat="1" ht="12.75" customHeight="1" x14ac:dyDescent="0.25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4"/>
      <c r="R83" s="3"/>
      <c r="S83" s="57"/>
      <c r="T83" s="57"/>
      <c r="U83" s="57"/>
      <c r="V83" s="57"/>
      <c r="W83" s="57"/>
      <c r="X83" s="57"/>
      <c r="Y83" s="57"/>
      <c r="Z83" s="57"/>
      <c r="AA83" s="57"/>
      <c r="AB83" s="57"/>
    </row>
    <row r="84" spans="1:28" s="66" customFormat="1" ht="12.75" customHeight="1" x14ac:dyDescent="0.25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4"/>
      <c r="R84" s="3"/>
      <c r="S84" s="57"/>
      <c r="T84" s="57"/>
      <c r="U84" s="57"/>
      <c r="V84" s="57"/>
      <c r="W84" s="57"/>
      <c r="X84" s="57"/>
      <c r="Y84" s="57"/>
      <c r="Z84" s="57"/>
      <c r="AA84" s="57"/>
      <c r="AB84" s="57"/>
    </row>
    <row r="85" spans="1:28" s="66" customFormat="1" ht="12.75" customHeight="1" x14ac:dyDescent="0.25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4"/>
      <c r="R85" s="3"/>
      <c r="S85" s="57"/>
      <c r="T85" s="57"/>
      <c r="U85" s="57"/>
      <c r="V85" s="57"/>
      <c r="W85" s="57"/>
      <c r="X85" s="57"/>
      <c r="Y85" s="57"/>
      <c r="Z85" s="57"/>
      <c r="AA85" s="57"/>
      <c r="AB85" s="57"/>
    </row>
    <row r="86" spans="1:28" s="66" customFormat="1" ht="12.75" customHeight="1" x14ac:dyDescent="0.25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4"/>
      <c r="R86" s="3"/>
      <c r="S86" s="57"/>
      <c r="T86" s="57"/>
      <c r="U86" s="57"/>
      <c r="V86" s="57"/>
      <c r="W86" s="57"/>
      <c r="X86" s="57"/>
      <c r="Y86" s="57"/>
      <c r="Z86" s="57"/>
      <c r="AA86" s="57"/>
      <c r="AB86" s="57"/>
    </row>
    <row r="87" spans="1:28" s="66" customFormat="1" ht="12.75" customHeight="1" x14ac:dyDescent="0.25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4"/>
      <c r="R87" s="3"/>
      <c r="S87" s="57"/>
      <c r="T87" s="57"/>
      <c r="U87" s="57"/>
      <c r="V87" s="57"/>
      <c r="W87" s="57"/>
      <c r="X87" s="57"/>
      <c r="Y87" s="57"/>
      <c r="Z87" s="57"/>
      <c r="AA87" s="57"/>
      <c r="AB87" s="57"/>
    </row>
    <row r="88" spans="1:28" s="66" customFormat="1" ht="12.75" customHeight="1" x14ac:dyDescent="0.25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4"/>
      <c r="R88" s="3"/>
      <c r="S88" s="57"/>
      <c r="T88" s="57"/>
      <c r="U88" s="57"/>
      <c r="V88" s="57"/>
      <c r="W88" s="57"/>
      <c r="X88" s="57"/>
      <c r="Y88" s="57"/>
      <c r="Z88" s="57"/>
      <c r="AA88" s="57"/>
      <c r="AB88" s="57"/>
    </row>
    <row r="89" spans="1:28" s="66" customFormat="1" ht="12.75" customHeight="1" x14ac:dyDescent="0.25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4"/>
      <c r="R89" s="3"/>
      <c r="S89" s="57"/>
      <c r="T89" s="57"/>
      <c r="U89" s="57"/>
      <c r="V89" s="57"/>
      <c r="W89" s="57"/>
      <c r="X89" s="57"/>
      <c r="Y89" s="57"/>
      <c r="Z89" s="57"/>
      <c r="AA89" s="57"/>
      <c r="AB89" s="57"/>
    </row>
    <row r="90" spans="1:28" s="66" customFormat="1" ht="12.75" customHeight="1" x14ac:dyDescent="0.25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4"/>
      <c r="R90" s="3"/>
      <c r="S90" s="57"/>
      <c r="T90" s="57"/>
      <c r="U90" s="57"/>
      <c r="V90" s="57"/>
      <c r="W90" s="57"/>
      <c r="X90" s="57"/>
      <c r="Y90" s="57"/>
      <c r="Z90" s="57"/>
      <c r="AA90" s="57"/>
      <c r="AB90" s="57"/>
    </row>
    <row r="91" spans="1:28" s="66" customFormat="1" ht="12.75" customHeight="1" x14ac:dyDescent="0.25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4"/>
      <c r="R91" s="3"/>
      <c r="S91" s="57"/>
      <c r="T91" s="57"/>
      <c r="U91" s="57"/>
      <c r="V91" s="57"/>
      <c r="W91" s="57"/>
      <c r="X91" s="57"/>
      <c r="Y91" s="57"/>
      <c r="Z91" s="57"/>
      <c r="AA91" s="57"/>
      <c r="AB91" s="57"/>
    </row>
    <row r="92" spans="1:28" s="66" customFormat="1" ht="12.75" customHeight="1" x14ac:dyDescent="0.25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4"/>
      <c r="R92" s="3"/>
      <c r="S92" s="57"/>
      <c r="T92" s="57"/>
      <c r="U92" s="57"/>
      <c r="V92" s="57"/>
      <c r="W92" s="57"/>
      <c r="X92" s="57"/>
      <c r="Y92" s="57"/>
      <c r="Z92" s="57"/>
      <c r="AA92" s="57"/>
      <c r="AB92" s="57"/>
    </row>
    <row r="93" spans="1:28" s="66" customFormat="1" ht="12.75" customHeight="1" x14ac:dyDescent="0.25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4"/>
      <c r="R93" s="3"/>
      <c r="S93" s="57"/>
      <c r="T93" s="57"/>
      <c r="U93" s="57"/>
      <c r="V93" s="57"/>
      <c r="W93" s="57"/>
      <c r="X93" s="57"/>
      <c r="Y93" s="57"/>
      <c r="Z93" s="57"/>
      <c r="AA93" s="57"/>
      <c r="AB93" s="57"/>
    </row>
    <row r="94" spans="1:28" s="66" customFormat="1" ht="12.75" customHeight="1" x14ac:dyDescent="0.25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4"/>
      <c r="R94" s="3"/>
      <c r="S94" s="57"/>
      <c r="T94" s="57"/>
      <c r="U94" s="57"/>
      <c r="V94" s="57"/>
      <c r="W94" s="57"/>
      <c r="X94" s="57"/>
      <c r="Y94" s="57"/>
      <c r="Z94" s="57"/>
      <c r="AA94" s="57"/>
      <c r="AB94" s="57"/>
    </row>
    <row r="95" spans="1:28" s="66" customFormat="1" ht="12.75" customHeight="1" x14ac:dyDescent="0.25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4"/>
      <c r="R95" s="3"/>
      <c r="S95" s="57"/>
      <c r="T95" s="57"/>
      <c r="U95" s="57"/>
      <c r="V95" s="57"/>
      <c r="W95" s="57"/>
      <c r="X95" s="57"/>
      <c r="Y95" s="57"/>
      <c r="Z95" s="57"/>
      <c r="AA95" s="57"/>
      <c r="AB95" s="57"/>
    </row>
    <row r="96" spans="1:28" s="66" customFormat="1" ht="12.75" customHeight="1" x14ac:dyDescent="0.25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4"/>
      <c r="R96" s="3"/>
      <c r="S96" s="57"/>
      <c r="T96" s="57"/>
      <c r="U96" s="57"/>
      <c r="V96" s="57"/>
      <c r="W96" s="57"/>
      <c r="X96" s="57"/>
      <c r="Y96" s="57"/>
      <c r="Z96" s="57"/>
      <c r="AA96" s="57"/>
      <c r="AB96" s="57"/>
    </row>
    <row r="97" spans="1:28" s="66" customFormat="1" ht="12.75" customHeight="1" x14ac:dyDescent="0.25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4"/>
      <c r="R97" s="3"/>
      <c r="S97" s="57"/>
      <c r="T97" s="57"/>
      <c r="U97" s="57"/>
      <c r="V97" s="57"/>
      <c r="W97" s="57"/>
      <c r="X97" s="57"/>
      <c r="Y97" s="57"/>
      <c r="Z97" s="57"/>
      <c r="AA97" s="57"/>
      <c r="AB97" s="57"/>
    </row>
    <row r="98" spans="1:28" s="66" customFormat="1" ht="12.75" customHeight="1" x14ac:dyDescent="0.25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4"/>
      <c r="R98" s="3"/>
      <c r="S98" s="57"/>
      <c r="T98" s="57"/>
      <c r="U98" s="57"/>
      <c r="V98" s="57"/>
      <c r="W98" s="57"/>
      <c r="X98" s="57"/>
      <c r="Y98" s="57"/>
      <c r="Z98" s="57"/>
      <c r="AA98" s="57"/>
      <c r="AB98" s="57"/>
    </row>
    <row r="99" spans="1:28" s="66" customFormat="1" ht="12.75" customHeight="1" x14ac:dyDescent="0.25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4"/>
      <c r="R99" s="3"/>
      <c r="S99" s="57"/>
      <c r="T99" s="57"/>
      <c r="U99" s="57"/>
      <c r="V99" s="57"/>
      <c r="W99" s="57"/>
      <c r="X99" s="57"/>
      <c r="Y99" s="57"/>
      <c r="Z99" s="57"/>
      <c r="AA99" s="57"/>
      <c r="AB99" s="57"/>
    </row>
    <row r="100" spans="1:28" s="66" customFormat="1" ht="12.75" customHeight="1" x14ac:dyDescent="0.25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4"/>
      <c r="R100" s="3"/>
      <c r="S100" s="57"/>
      <c r="T100" s="57"/>
      <c r="U100" s="57"/>
      <c r="V100" s="57"/>
      <c r="W100" s="57"/>
      <c r="X100" s="57"/>
      <c r="Y100" s="57"/>
      <c r="Z100" s="57"/>
      <c r="AA100" s="57"/>
      <c r="AB100" s="57"/>
    </row>
    <row r="101" spans="1:28" s="66" customFormat="1" ht="12.75" customHeight="1" x14ac:dyDescent="0.25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4"/>
      <c r="R101" s="3"/>
      <c r="S101" s="57"/>
      <c r="T101" s="57"/>
      <c r="U101" s="57"/>
      <c r="V101" s="57"/>
      <c r="W101" s="57"/>
      <c r="X101" s="57"/>
      <c r="Y101" s="57"/>
      <c r="Z101" s="57"/>
      <c r="AA101" s="57"/>
      <c r="AB101" s="57"/>
    </row>
    <row r="102" spans="1:28" s="66" customFormat="1" ht="12.75" customHeight="1" x14ac:dyDescent="0.25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4"/>
      <c r="R102" s="3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</row>
    <row r="103" spans="1:28" s="66" customFormat="1" ht="12.75" customHeight="1" x14ac:dyDescent="0.25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4"/>
      <c r="R103" s="3"/>
      <c r="S103" s="57"/>
      <c r="T103" s="57"/>
      <c r="U103" s="57"/>
      <c r="V103" s="57"/>
      <c r="W103" s="57"/>
      <c r="X103" s="57"/>
      <c r="Y103" s="57"/>
      <c r="Z103" s="57"/>
      <c r="AA103" s="57"/>
      <c r="AB103" s="57"/>
    </row>
    <row r="104" spans="1:28" s="66" customFormat="1" ht="12.75" customHeight="1" x14ac:dyDescent="0.25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4"/>
      <c r="R104" s="3"/>
      <c r="S104" s="57"/>
      <c r="T104" s="57"/>
      <c r="U104" s="57"/>
      <c r="V104" s="57"/>
      <c r="W104" s="57"/>
      <c r="X104" s="57"/>
      <c r="Y104" s="57"/>
      <c r="Z104" s="57"/>
      <c r="AA104" s="57"/>
      <c r="AB104" s="57"/>
    </row>
    <row r="105" spans="1:28" s="66" customFormat="1" ht="12.75" customHeight="1" x14ac:dyDescent="0.25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4"/>
      <c r="R105" s="3"/>
      <c r="S105" s="57"/>
      <c r="T105" s="57"/>
      <c r="U105" s="57"/>
      <c r="V105" s="57"/>
      <c r="W105" s="57"/>
      <c r="X105" s="57"/>
      <c r="Y105" s="57"/>
      <c r="Z105" s="57"/>
      <c r="AA105" s="57"/>
      <c r="AB105" s="57"/>
    </row>
    <row r="106" spans="1:28" s="66" customFormat="1" ht="12.75" customHeight="1" x14ac:dyDescent="0.25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4"/>
      <c r="R106" s="3"/>
      <c r="S106" s="57"/>
      <c r="T106" s="57"/>
      <c r="U106" s="57"/>
      <c r="V106" s="57"/>
      <c r="W106" s="57"/>
      <c r="X106" s="57"/>
      <c r="Y106" s="57"/>
      <c r="Z106" s="57"/>
      <c r="AA106" s="57"/>
      <c r="AB106" s="57"/>
    </row>
    <row r="107" spans="1:28" s="66" customFormat="1" ht="12.75" customHeight="1" x14ac:dyDescent="0.25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4"/>
      <c r="R107" s="3"/>
      <c r="S107" s="57"/>
      <c r="T107" s="57"/>
      <c r="U107" s="57"/>
      <c r="V107" s="57"/>
      <c r="W107" s="57"/>
      <c r="X107" s="57"/>
      <c r="Y107" s="57"/>
      <c r="Z107" s="57"/>
      <c r="AA107" s="57"/>
      <c r="AB107" s="57"/>
    </row>
    <row r="108" spans="1:28" s="66" customFormat="1" ht="12.75" customHeight="1" x14ac:dyDescent="0.25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4"/>
      <c r="R108" s="3"/>
      <c r="S108" s="57"/>
      <c r="T108" s="57"/>
      <c r="U108" s="57"/>
      <c r="V108" s="57"/>
      <c r="W108" s="57"/>
      <c r="X108" s="57"/>
      <c r="Y108" s="57"/>
      <c r="Z108" s="57"/>
      <c r="AA108" s="57"/>
      <c r="AB108" s="57"/>
    </row>
    <row r="109" spans="1:28" s="66" customFormat="1" ht="12.75" customHeight="1" x14ac:dyDescent="0.25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4"/>
      <c r="R109" s="3"/>
      <c r="S109" s="57"/>
      <c r="T109" s="57"/>
      <c r="U109" s="57"/>
      <c r="V109" s="57"/>
      <c r="W109" s="57"/>
      <c r="X109" s="57"/>
      <c r="Y109" s="57"/>
      <c r="Z109" s="57"/>
      <c r="AA109" s="57"/>
      <c r="AB109" s="57"/>
    </row>
    <row r="110" spans="1:28" s="66" customFormat="1" ht="12.75" customHeight="1" x14ac:dyDescent="0.25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4"/>
      <c r="R110" s="3"/>
      <c r="S110" s="57"/>
      <c r="T110" s="57"/>
      <c r="U110" s="57"/>
      <c r="V110" s="57"/>
      <c r="W110" s="57"/>
      <c r="X110" s="57"/>
      <c r="Y110" s="57"/>
      <c r="Z110" s="57"/>
      <c r="AA110" s="57"/>
      <c r="AB110" s="57"/>
    </row>
    <row r="111" spans="1:28" s="66" customFormat="1" ht="12.75" customHeight="1" x14ac:dyDescent="0.25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4"/>
      <c r="R111" s="3"/>
      <c r="S111" s="57"/>
      <c r="T111" s="57"/>
      <c r="U111" s="57"/>
      <c r="V111" s="57"/>
      <c r="W111" s="57"/>
      <c r="X111" s="57"/>
      <c r="Y111" s="57"/>
      <c r="Z111" s="57"/>
      <c r="AA111" s="57"/>
      <c r="AB111" s="57"/>
    </row>
    <row r="112" spans="1:28" s="66" customFormat="1" ht="12.75" customHeight="1" x14ac:dyDescent="0.25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4"/>
      <c r="R112" s="3"/>
      <c r="S112" s="57"/>
      <c r="T112" s="57"/>
      <c r="U112" s="57"/>
      <c r="V112" s="57"/>
      <c r="W112" s="57"/>
      <c r="X112" s="57"/>
      <c r="Y112" s="57"/>
      <c r="Z112" s="57"/>
      <c r="AA112" s="57"/>
      <c r="AB112" s="57"/>
    </row>
    <row r="113" spans="1:28" s="66" customFormat="1" ht="12.75" customHeight="1" x14ac:dyDescent="0.25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4"/>
      <c r="R113" s="3"/>
      <c r="S113" s="57"/>
      <c r="T113" s="57"/>
      <c r="U113" s="57"/>
      <c r="V113" s="57"/>
      <c r="W113" s="57"/>
      <c r="X113" s="57"/>
      <c r="Y113" s="57"/>
      <c r="Z113" s="57"/>
      <c r="AA113" s="57"/>
      <c r="AB113" s="57"/>
    </row>
    <row r="114" spans="1:28" s="66" customFormat="1" ht="12.75" customHeight="1" x14ac:dyDescent="0.25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4"/>
      <c r="R114" s="3"/>
      <c r="S114" s="57"/>
      <c r="T114" s="57"/>
      <c r="U114" s="57"/>
      <c r="V114" s="57"/>
      <c r="W114" s="57"/>
      <c r="X114" s="57"/>
      <c r="Y114" s="57"/>
      <c r="Z114" s="57"/>
      <c r="AA114" s="57"/>
      <c r="AB114" s="57"/>
    </row>
    <row r="115" spans="1:28" s="66" customFormat="1" ht="12.75" customHeight="1" x14ac:dyDescent="0.25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4"/>
      <c r="R115" s="3"/>
      <c r="S115" s="57"/>
      <c r="T115" s="57"/>
      <c r="U115" s="57"/>
      <c r="V115" s="57"/>
      <c r="W115" s="57"/>
      <c r="X115" s="57"/>
      <c r="Y115" s="57"/>
      <c r="Z115" s="57"/>
      <c r="AA115" s="57"/>
      <c r="AB115" s="57"/>
    </row>
  </sheetData>
  <mergeCells count="1">
    <mergeCell ref="B1:I1"/>
  </mergeCells>
  <pageMargins left="0" right="0" top="0.19685039370078702" bottom="0.19685039370078755" header="0.19685039370078702" footer="0.15748031496063003"/>
  <pageSetup paperSize="0" scale="75" fitToWidth="0" fitToHeight="0" pageOrder="overThenDown" orientation="landscape" horizontalDpi="0" verticalDpi="0" copie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4EE9F-D3B8-49B3-8A83-069212D4B63C}">
  <dimension ref="A1:AC132"/>
  <sheetViews>
    <sheetView workbookViewId="0">
      <selection activeCell="H22" sqref="H22"/>
    </sheetView>
  </sheetViews>
  <sheetFormatPr baseColWidth="10" defaultColWidth="10" defaultRowHeight="12.75" customHeight="1" x14ac:dyDescent="0.25"/>
  <cols>
    <col min="1" max="1" width="17.08203125" style="1" customWidth="1"/>
    <col min="2" max="2" width="8.58203125" style="3" customWidth="1"/>
    <col min="3" max="4" width="8.25" style="3" customWidth="1"/>
    <col min="5" max="5" width="9.58203125" style="3" customWidth="1"/>
    <col min="6" max="6" width="9.83203125" style="3" customWidth="1"/>
    <col min="7" max="7" width="8.33203125" style="3" customWidth="1"/>
    <col min="8" max="8" width="9.5" style="3" customWidth="1"/>
    <col min="9" max="9" width="9.83203125" style="3" customWidth="1"/>
    <col min="10" max="10" width="9" style="3" customWidth="1"/>
    <col min="11" max="11" width="9.25" style="3" customWidth="1"/>
    <col min="12" max="12" width="8.33203125" style="3" customWidth="1"/>
    <col min="13" max="13" width="7.08203125" style="3" customWidth="1"/>
    <col min="14" max="14" width="6.08203125" style="3" customWidth="1"/>
    <col min="15" max="15" width="11.33203125" style="4" customWidth="1"/>
    <col min="16" max="16" width="9.25" style="3" customWidth="1"/>
    <col min="17" max="17" width="9.33203125" style="67" customWidth="1"/>
    <col min="18" max="18" width="8" style="67" customWidth="1"/>
    <col min="19" max="19" width="7.25" style="66" customWidth="1"/>
    <col min="20" max="20" width="8" style="67" customWidth="1"/>
    <col min="21" max="21" width="3.75" style="66" hidden="1" customWidth="1"/>
    <col min="22" max="22" width="10.25" style="66" hidden="1" customWidth="1"/>
    <col min="23" max="23" width="7.75" style="68" customWidth="1"/>
    <col min="24" max="24" width="7.83203125" style="65" customWidth="1"/>
    <col min="25" max="25" width="11" style="66" customWidth="1"/>
    <col min="26" max="26" width="7.33203125" style="66" customWidth="1"/>
    <col min="27" max="27" width="6.58203125" style="66" customWidth="1"/>
    <col min="28" max="28" width="10.58203125" style="66" customWidth="1"/>
    <col min="29" max="29" width="9.5" style="66" customWidth="1"/>
    <col min="30" max="30" width="10" style="57" customWidth="1"/>
    <col min="31" max="16384" width="10" style="57"/>
  </cols>
  <sheetData>
    <row r="1" spans="1:29" ht="20.149999999999999" customHeight="1" x14ac:dyDescent="0.25">
      <c r="B1" s="100" t="s">
        <v>82</v>
      </c>
      <c r="C1" s="100"/>
      <c r="D1" s="100"/>
      <c r="E1" s="100"/>
      <c r="F1" s="100"/>
      <c r="G1" s="100"/>
      <c r="H1" s="100"/>
      <c r="I1" s="100"/>
      <c r="J1" s="2"/>
      <c r="Q1" s="57"/>
      <c r="R1" s="57"/>
      <c r="S1" s="57"/>
      <c r="T1" s="57"/>
      <c r="U1" s="57"/>
      <c r="V1" s="57"/>
      <c r="W1" s="57"/>
    </row>
    <row r="2" spans="1:29" ht="11.15" customHeight="1" x14ac:dyDescent="0.25">
      <c r="Q2" s="57"/>
      <c r="R2" s="57"/>
      <c r="S2" s="57"/>
      <c r="T2" s="57"/>
      <c r="U2" s="57"/>
      <c r="V2" s="57"/>
      <c r="W2" s="57"/>
      <c r="Z2" s="57"/>
      <c r="AA2" s="57"/>
      <c r="AB2" s="57"/>
      <c r="AC2" s="57"/>
    </row>
    <row r="3" spans="1:29" ht="12.75" customHeight="1" x14ac:dyDescent="0.25">
      <c r="A3" s="5"/>
      <c r="B3" s="6" t="s">
        <v>83</v>
      </c>
      <c r="C3" s="6" t="s">
        <v>83</v>
      </c>
      <c r="D3" s="6" t="s">
        <v>36</v>
      </c>
      <c r="E3" s="6" t="s">
        <v>83</v>
      </c>
      <c r="F3" s="6" t="s">
        <v>36</v>
      </c>
      <c r="G3" s="6" t="s">
        <v>83</v>
      </c>
      <c r="H3" s="6" t="s">
        <v>36</v>
      </c>
      <c r="I3" s="6" t="s">
        <v>83</v>
      </c>
      <c r="J3" s="6" t="s">
        <v>36</v>
      </c>
      <c r="K3" s="6" t="s">
        <v>83</v>
      </c>
      <c r="L3" s="6" t="s">
        <v>36</v>
      </c>
      <c r="M3" s="6" t="s">
        <v>37</v>
      </c>
      <c r="N3" s="6" t="s">
        <v>38</v>
      </c>
      <c r="O3" s="7" t="s">
        <v>3</v>
      </c>
      <c r="P3" s="6"/>
      <c r="Q3" s="57"/>
      <c r="R3" s="57"/>
      <c r="S3" s="57"/>
      <c r="T3" s="57"/>
      <c r="U3" s="57"/>
      <c r="V3" s="57"/>
      <c r="W3" s="57"/>
      <c r="X3" s="57"/>
      <c r="Z3" s="57"/>
      <c r="AA3" s="57"/>
      <c r="AB3" s="57"/>
      <c r="AC3" s="57"/>
    </row>
    <row r="4" spans="1:29" ht="13.5" customHeight="1" x14ac:dyDescent="0.25">
      <c r="A4" s="8"/>
      <c r="B4" s="9">
        <v>1</v>
      </c>
      <c r="C4" s="9">
        <v>2</v>
      </c>
      <c r="D4" s="10" t="s">
        <v>39</v>
      </c>
      <c r="E4" s="9">
        <v>3</v>
      </c>
      <c r="F4" s="10" t="s">
        <v>39</v>
      </c>
      <c r="G4" s="9">
        <v>4</v>
      </c>
      <c r="H4" s="10" t="s">
        <v>39</v>
      </c>
      <c r="I4" s="9">
        <v>5</v>
      </c>
      <c r="J4" s="10" t="s">
        <v>39</v>
      </c>
      <c r="K4" s="9">
        <v>6</v>
      </c>
      <c r="L4" s="10" t="s">
        <v>39</v>
      </c>
      <c r="M4" s="10" t="s">
        <v>36</v>
      </c>
      <c r="N4" s="9" t="s">
        <v>83</v>
      </c>
      <c r="O4" s="8"/>
      <c r="P4" s="9" t="s">
        <v>40</v>
      </c>
      <c r="Q4" s="57"/>
      <c r="R4" s="57"/>
      <c r="S4" s="57"/>
      <c r="T4" s="57"/>
      <c r="U4" s="57"/>
      <c r="V4" s="57"/>
      <c r="W4" s="57"/>
      <c r="X4" s="57"/>
      <c r="Y4" s="65"/>
      <c r="Z4" s="57"/>
      <c r="AA4" s="57"/>
      <c r="AB4" s="57"/>
      <c r="AC4" s="57"/>
    </row>
    <row r="5" spans="1:29" ht="11.25" customHeight="1" x14ac:dyDescent="0.25">
      <c r="A5" s="8"/>
      <c r="B5" s="10" t="s">
        <v>41</v>
      </c>
      <c r="C5" s="10" t="s">
        <v>42</v>
      </c>
      <c r="D5" s="9">
        <v>2</v>
      </c>
      <c r="E5" s="10" t="s">
        <v>43</v>
      </c>
      <c r="F5" s="9">
        <v>3</v>
      </c>
      <c r="G5" s="10" t="s">
        <v>75</v>
      </c>
      <c r="H5" s="9">
        <v>4</v>
      </c>
      <c r="I5" s="10" t="s">
        <v>46</v>
      </c>
      <c r="J5" s="9">
        <v>5</v>
      </c>
      <c r="K5" s="10" t="s">
        <v>47</v>
      </c>
      <c r="L5" s="9">
        <v>6</v>
      </c>
      <c r="M5" s="10" t="s">
        <v>48</v>
      </c>
      <c r="N5" s="9"/>
      <c r="O5" s="8"/>
      <c r="P5" s="9" t="s">
        <v>49</v>
      </c>
      <c r="Q5" s="57"/>
      <c r="R5" s="57"/>
      <c r="S5" s="57"/>
      <c r="T5" s="57"/>
      <c r="U5" s="57"/>
      <c r="V5" s="57"/>
      <c r="W5" s="57"/>
      <c r="X5" s="57"/>
      <c r="Y5" s="65"/>
      <c r="Z5" s="57"/>
      <c r="AA5" s="57"/>
      <c r="AB5" s="57"/>
      <c r="AC5" s="57"/>
    </row>
    <row r="6" spans="1:29" ht="13.5" customHeight="1" x14ac:dyDescent="0.25">
      <c r="A6" s="11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 t="s">
        <v>83</v>
      </c>
      <c r="N6" s="12"/>
      <c r="O6" s="13"/>
      <c r="P6" s="12"/>
      <c r="Q6" s="57"/>
      <c r="R6" s="57"/>
      <c r="S6" s="57"/>
      <c r="T6" s="57"/>
      <c r="U6" s="57"/>
      <c r="V6" s="57"/>
      <c r="W6" s="57"/>
      <c r="X6" s="57"/>
      <c r="Z6" s="57"/>
      <c r="AA6" s="57"/>
      <c r="AB6" s="57"/>
      <c r="AC6" s="57"/>
    </row>
    <row r="7" spans="1:29" ht="12.75" customHeight="1" x14ac:dyDescent="0.25">
      <c r="A7" s="5" t="s">
        <v>50</v>
      </c>
      <c r="B7" s="6">
        <f>408</f>
        <v>408</v>
      </c>
      <c r="C7" s="6">
        <f>1377</f>
        <v>1377</v>
      </c>
      <c r="D7" s="6"/>
      <c r="E7" s="6">
        <f>3953</f>
        <v>3953</v>
      </c>
      <c r="F7" s="6">
        <f>1</f>
        <v>1</v>
      </c>
      <c r="G7" s="6">
        <f>684</f>
        <v>684</v>
      </c>
      <c r="H7" s="6"/>
      <c r="I7" s="6">
        <f>148</f>
        <v>148</v>
      </c>
      <c r="J7" s="6"/>
      <c r="K7" s="6">
        <f>233</f>
        <v>233</v>
      </c>
      <c r="L7" s="6"/>
      <c r="M7" s="6"/>
      <c r="N7" s="6">
        <f>9</f>
        <v>9</v>
      </c>
      <c r="O7" s="14">
        <f t="shared" ref="O7:O18" si="0">SUM(B7:N7)</f>
        <v>6813</v>
      </c>
      <c r="P7" s="6">
        <v>20</v>
      </c>
      <c r="Q7" s="57"/>
      <c r="R7" s="57"/>
      <c r="S7" s="57"/>
      <c r="T7" s="57"/>
      <c r="U7" s="57"/>
      <c r="V7" s="57"/>
      <c r="W7" s="57"/>
      <c r="X7" s="57"/>
      <c r="Z7" s="57"/>
      <c r="AA7" s="57"/>
      <c r="AB7" s="57"/>
      <c r="AC7" s="57"/>
    </row>
    <row r="8" spans="1:29" ht="12.75" customHeight="1" x14ac:dyDescent="0.25">
      <c r="A8" s="15" t="s">
        <v>51</v>
      </c>
      <c r="B8" s="10">
        <v>396</v>
      </c>
      <c r="C8" s="10">
        <v>1205</v>
      </c>
      <c r="D8" s="10">
        <v>2</v>
      </c>
      <c r="E8" s="10">
        <v>3254</v>
      </c>
      <c r="F8" s="10">
        <v>1</v>
      </c>
      <c r="G8" s="10">
        <v>606</v>
      </c>
      <c r="H8" s="10"/>
      <c r="I8" s="10">
        <v>112</v>
      </c>
      <c r="J8" s="10"/>
      <c r="K8" s="10">
        <v>164</v>
      </c>
      <c r="L8" s="10"/>
      <c r="M8" s="10">
        <v>1</v>
      </c>
      <c r="N8" s="10">
        <v>7</v>
      </c>
      <c r="O8" s="9">
        <f t="shared" si="0"/>
        <v>5748</v>
      </c>
      <c r="P8" s="10">
        <v>20</v>
      </c>
      <c r="Q8" s="57"/>
      <c r="R8" s="57"/>
      <c r="S8" s="57"/>
      <c r="T8" s="57"/>
      <c r="U8" s="57"/>
      <c r="V8" s="57"/>
      <c r="W8" s="57"/>
      <c r="X8" s="57"/>
      <c r="Z8" s="57"/>
      <c r="AA8" s="57"/>
      <c r="AB8" s="57"/>
      <c r="AC8" s="57"/>
    </row>
    <row r="9" spans="1:29" ht="12.75" customHeight="1" x14ac:dyDescent="0.25">
      <c r="A9" s="15" t="s">
        <v>52</v>
      </c>
      <c r="B9" s="10">
        <v>376</v>
      </c>
      <c r="C9" s="10">
        <v>1331</v>
      </c>
      <c r="D9" s="10"/>
      <c r="E9" s="10">
        <v>3750</v>
      </c>
      <c r="F9" s="10">
        <v>2</v>
      </c>
      <c r="G9" s="10">
        <v>635</v>
      </c>
      <c r="H9" s="10"/>
      <c r="I9" s="10">
        <v>110</v>
      </c>
      <c r="J9" s="10"/>
      <c r="K9" s="10">
        <v>179</v>
      </c>
      <c r="L9" s="10"/>
      <c r="M9" s="10">
        <v>1</v>
      </c>
      <c r="N9" s="10">
        <v>8</v>
      </c>
      <c r="O9" s="9">
        <f t="shared" si="0"/>
        <v>6392</v>
      </c>
      <c r="P9" s="10">
        <v>23</v>
      </c>
      <c r="Q9" s="57"/>
      <c r="R9" s="57"/>
      <c r="S9" s="57"/>
      <c r="T9" s="57"/>
      <c r="U9" s="57"/>
      <c r="V9" s="57"/>
      <c r="W9" s="57"/>
      <c r="X9" s="57"/>
      <c r="Y9" s="57"/>
      <c r="Z9" s="57"/>
    </row>
    <row r="10" spans="1:29" ht="12.75" customHeight="1" x14ac:dyDescent="0.25">
      <c r="A10" s="15" t="s">
        <v>53</v>
      </c>
      <c r="B10" s="10">
        <v>373</v>
      </c>
      <c r="C10" s="10">
        <v>978</v>
      </c>
      <c r="D10" s="10"/>
      <c r="E10" s="10">
        <v>2812</v>
      </c>
      <c r="F10" s="10">
        <v>1</v>
      </c>
      <c r="G10" s="10">
        <v>471</v>
      </c>
      <c r="H10" s="10"/>
      <c r="I10" s="10">
        <v>122</v>
      </c>
      <c r="J10" s="10"/>
      <c r="K10" s="10">
        <v>135</v>
      </c>
      <c r="L10" s="10"/>
      <c r="M10" s="10"/>
      <c r="N10" s="10">
        <v>2</v>
      </c>
      <c r="O10" s="9">
        <f t="shared" si="0"/>
        <v>4894</v>
      </c>
      <c r="P10" s="10">
        <v>21</v>
      </c>
      <c r="Q10" s="57"/>
      <c r="R10" s="57"/>
      <c r="S10" s="57"/>
      <c r="T10" s="57"/>
      <c r="U10" s="57"/>
      <c r="V10" s="57"/>
      <c r="W10" s="57"/>
      <c r="X10" s="57"/>
      <c r="Y10" s="57"/>
      <c r="Z10" s="57"/>
    </row>
    <row r="11" spans="1:29" ht="12.75" customHeight="1" x14ac:dyDescent="0.25">
      <c r="A11" s="15" t="s">
        <v>54</v>
      </c>
      <c r="B11" s="10">
        <v>348</v>
      </c>
      <c r="C11" s="10">
        <v>837</v>
      </c>
      <c r="D11" s="10"/>
      <c r="E11" s="10">
        <v>2784</v>
      </c>
      <c r="F11" s="10"/>
      <c r="G11" s="10">
        <v>505</v>
      </c>
      <c r="H11" s="10"/>
      <c r="I11" s="10">
        <v>139</v>
      </c>
      <c r="J11" s="10"/>
      <c r="K11" s="10">
        <v>173</v>
      </c>
      <c r="L11" s="10"/>
      <c r="M11" s="10"/>
      <c r="N11" s="10"/>
      <c r="O11" s="9">
        <f t="shared" si="0"/>
        <v>4786</v>
      </c>
      <c r="P11" s="10">
        <v>19</v>
      </c>
      <c r="Q11" s="57"/>
      <c r="R11" s="57"/>
      <c r="S11" s="57"/>
      <c r="T11" s="57"/>
      <c r="U11" s="57"/>
      <c r="V11" s="57"/>
      <c r="W11" s="57"/>
      <c r="X11" s="57"/>
      <c r="Y11" s="57"/>
      <c r="Z11" s="57"/>
    </row>
    <row r="12" spans="1:29" ht="12.75" customHeight="1" x14ac:dyDescent="0.25">
      <c r="A12" s="15" t="s">
        <v>55</v>
      </c>
      <c r="B12" s="10">
        <v>350</v>
      </c>
      <c r="C12" s="10">
        <v>1311</v>
      </c>
      <c r="D12" s="10"/>
      <c r="E12" s="10">
        <v>3701</v>
      </c>
      <c r="F12" s="10">
        <v>4</v>
      </c>
      <c r="G12" s="10">
        <v>627</v>
      </c>
      <c r="H12" s="10">
        <v>1</v>
      </c>
      <c r="I12" s="10">
        <v>155</v>
      </c>
      <c r="J12" s="10"/>
      <c r="K12" s="10">
        <v>232</v>
      </c>
      <c r="L12" s="10"/>
      <c r="M12" s="10">
        <v>1</v>
      </c>
      <c r="N12" s="10">
        <v>5</v>
      </c>
      <c r="O12" s="9">
        <f t="shared" si="0"/>
        <v>6387</v>
      </c>
      <c r="P12" s="10">
        <v>22</v>
      </c>
      <c r="Q12" s="57"/>
      <c r="R12" s="57"/>
      <c r="S12" s="57"/>
      <c r="T12" s="57"/>
      <c r="U12" s="57"/>
      <c r="V12" s="57"/>
      <c r="W12" s="57"/>
      <c r="X12" s="57"/>
      <c r="Y12" s="57"/>
      <c r="Z12" s="57"/>
    </row>
    <row r="13" spans="1:29" ht="12.75" customHeight="1" x14ac:dyDescent="0.25">
      <c r="A13" s="15" t="s">
        <v>56</v>
      </c>
      <c r="B13" s="10">
        <v>368</v>
      </c>
      <c r="C13" s="10">
        <v>994</v>
      </c>
      <c r="D13" s="10">
        <v>3</v>
      </c>
      <c r="E13" s="10">
        <v>2872</v>
      </c>
      <c r="F13" s="10">
        <v>2</v>
      </c>
      <c r="G13" s="10">
        <v>530</v>
      </c>
      <c r="H13" s="10">
        <v>1</v>
      </c>
      <c r="I13" s="10">
        <v>106</v>
      </c>
      <c r="J13" s="10"/>
      <c r="K13" s="10">
        <v>169</v>
      </c>
      <c r="L13" s="10"/>
      <c r="M13" s="10">
        <v>1</v>
      </c>
      <c r="N13" s="10">
        <v>7</v>
      </c>
      <c r="O13" s="9">
        <f t="shared" si="0"/>
        <v>5053</v>
      </c>
      <c r="P13" s="10">
        <v>21</v>
      </c>
      <c r="Q13" s="57"/>
      <c r="R13" s="57"/>
      <c r="S13" s="57"/>
      <c r="T13" s="57"/>
      <c r="U13" s="57"/>
      <c r="V13" s="57"/>
      <c r="W13" s="57"/>
      <c r="X13" s="57"/>
      <c r="Y13" s="57"/>
      <c r="Z13" s="57"/>
    </row>
    <row r="14" spans="1:29" ht="12.75" customHeight="1" x14ac:dyDescent="0.25">
      <c r="A14" s="15" t="s">
        <v>57</v>
      </c>
      <c r="B14" s="10">
        <v>354</v>
      </c>
      <c r="C14" s="10">
        <v>761</v>
      </c>
      <c r="D14" s="10"/>
      <c r="E14" s="10">
        <v>2440</v>
      </c>
      <c r="F14" s="10"/>
      <c r="G14" s="10">
        <v>491</v>
      </c>
      <c r="H14" s="10">
        <v>19</v>
      </c>
      <c r="I14" s="10">
        <v>122</v>
      </c>
      <c r="J14" s="10"/>
      <c r="K14" s="10">
        <v>178</v>
      </c>
      <c r="L14" s="10"/>
      <c r="M14" s="10">
        <v>1</v>
      </c>
      <c r="N14" s="10">
        <v>7</v>
      </c>
      <c r="O14" s="9">
        <f t="shared" si="0"/>
        <v>4373</v>
      </c>
      <c r="P14" s="10">
        <v>22</v>
      </c>
      <c r="Q14" s="57"/>
      <c r="R14" s="57"/>
      <c r="S14" s="57"/>
      <c r="T14" s="57"/>
      <c r="U14" s="57"/>
      <c r="V14" s="57"/>
      <c r="W14" s="57"/>
      <c r="X14" s="57"/>
      <c r="Y14" s="57"/>
      <c r="Z14" s="57"/>
    </row>
    <row r="15" spans="1:29" ht="12.75" customHeight="1" x14ac:dyDescent="0.25">
      <c r="A15" s="15" t="s">
        <v>58</v>
      </c>
      <c r="B15" s="10">
        <v>389</v>
      </c>
      <c r="C15" s="10">
        <v>1766</v>
      </c>
      <c r="D15" s="10"/>
      <c r="E15" s="10">
        <v>4574</v>
      </c>
      <c r="F15" s="10">
        <v>1</v>
      </c>
      <c r="G15" s="10">
        <v>794</v>
      </c>
      <c r="H15" s="10">
        <v>19</v>
      </c>
      <c r="I15" s="10">
        <v>239</v>
      </c>
      <c r="J15" s="10"/>
      <c r="K15" s="10">
        <v>301</v>
      </c>
      <c r="L15" s="10"/>
      <c r="M15" s="10">
        <v>1</v>
      </c>
      <c r="N15" s="10">
        <v>18</v>
      </c>
      <c r="O15" s="9">
        <f t="shared" si="0"/>
        <v>8102</v>
      </c>
      <c r="P15" s="10">
        <v>22</v>
      </c>
      <c r="Q15" s="57"/>
      <c r="R15" s="57"/>
      <c r="S15" s="57"/>
      <c r="T15" s="57"/>
      <c r="U15" s="57"/>
      <c r="V15" s="57"/>
      <c r="W15" s="57"/>
      <c r="X15" s="57"/>
      <c r="Y15" s="57"/>
      <c r="Z15" s="57"/>
    </row>
    <row r="16" spans="1:29" ht="12.75" customHeight="1" x14ac:dyDescent="0.25">
      <c r="A16" s="15" t="s">
        <v>59</v>
      </c>
      <c r="B16" s="10">
        <v>442</v>
      </c>
      <c r="C16" s="10">
        <v>1639</v>
      </c>
      <c r="D16" s="10"/>
      <c r="E16" s="10">
        <v>4199</v>
      </c>
      <c r="F16" s="10">
        <v>3</v>
      </c>
      <c r="G16" s="10">
        <v>708</v>
      </c>
      <c r="H16" s="10">
        <v>22</v>
      </c>
      <c r="I16" s="10">
        <v>215</v>
      </c>
      <c r="J16" s="10"/>
      <c r="K16" s="10">
        <v>257</v>
      </c>
      <c r="L16" s="10"/>
      <c r="M16" s="10"/>
      <c r="N16" s="10">
        <v>12</v>
      </c>
      <c r="O16" s="9">
        <f t="shared" si="0"/>
        <v>7497</v>
      </c>
      <c r="P16" s="10">
        <v>21</v>
      </c>
      <c r="Q16" s="57"/>
      <c r="R16" s="57"/>
      <c r="S16" s="57"/>
      <c r="T16" s="57"/>
      <c r="U16" s="57"/>
      <c r="V16" s="57"/>
      <c r="W16" s="57"/>
      <c r="X16" s="57"/>
      <c r="Y16" s="57"/>
      <c r="Z16" s="57"/>
    </row>
    <row r="17" spans="1:26" ht="12.75" customHeight="1" x14ac:dyDescent="0.25">
      <c r="A17" s="15" t="s">
        <v>60</v>
      </c>
      <c r="B17" s="10">
        <v>461</v>
      </c>
      <c r="C17" s="10">
        <v>1554</v>
      </c>
      <c r="D17" s="10"/>
      <c r="E17" s="10">
        <v>3994</v>
      </c>
      <c r="F17" s="10">
        <v>2</v>
      </c>
      <c r="G17" s="10">
        <v>645</v>
      </c>
      <c r="H17" s="10">
        <v>19</v>
      </c>
      <c r="I17" s="10">
        <v>217</v>
      </c>
      <c r="J17" s="10"/>
      <c r="K17" s="10">
        <v>273</v>
      </c>
      <c r="L17" s="10"/>
      <c r="M17" s="10">
        <v>1</v>
      </c>
      <c r="N17" s="10">
        <v>8</v>
      </c>
      <c r="O17" s="9">
        <f t="shared" si="0"/>
        <v>7174</v>
      </c>
      <c r="P17" s="10">
        <v>20</v>
      </c>
      <c r="Q17" s="57"/>
      <c r="R17" s="57"/>
      <c r="S17" s="57"/>
      <c r="T17" s="57"/>
      <c r="U17" s="57"/>
      <c r="V17" s="57"/>
      <c r="W17" s="57"/>
      <c r="X17" s="57"/>
      <c r="Y17" s="57"/>
      <c r="Z17" s="57"/>
    </row>
    <row r="18" spans="1:26" ht="12.75" customHeight="1" x14ac:dyDescent="0.25">
      <c r="A18" s="15" t="s">
        <v>61</v>
      </c>
      <c r="B18" s="10">
        <v>394</v>
      </c>
      <c r="C18" s="10">
        <v>1310</v>
      </c>
      <c r="D18" s="10"/>
      <c r="E18" s="10">
        <v>3668</v>
      </c>
      <c r="F18" s="10"/>
      <c r="G18" s="10">
        <v>634</v>
      </c>
      <c r="H18" s="10">
        <v>1</v>
      </c>
      <c r="I18" s="10">
        <v>172</v>
      </c>
      <c r="J18" s="10"/>
      <c r="K18" s="10">
        <v>226</v>
      </c>
      <c r="L18" s="10"/>
      <c r="M18" s="10"/>
      <c r="N18" s="10">
        <v>8</v>
      </c>
      <c r="O18" s="9">
        <f t="shared" si="0"/>
        <v>6413</v>
      </c>
      <c r="P18" s="10">
        <v>23</v>
      </c>
      <c r="Q18" s="57"/>
      <c r="R18" s="57"/>
      <c r="S18" s="57"/>
      <c r="T18" s="57"/>
      <c r="U18" s="57"/>
      <c r="V18" s="57"/>
      <c r="W18" s="57"/>
      <c r="X18" s="57"/>
      <c r="Y18" s="57"/>
      <c r="Z18" s="57"/>
    </row>
    <row r="19" spans="1:26" ht="12.75" customHeight="1" x14ac:dyDescent="0.25">
      <c r="A19" s="15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9"/>
      <c r="P19" s="10"/>
      <c r="Q19" s="57"/>
      <c r="R19" s="57"/>
      <c r="S19" s="57"/>
      <c r="T19" s="57"/>
      <c r="U19" s="57"/>
      <c r="V19" s="57"/>
      <c r="W19" s="57"/>
      <c r="X19" s="57"/>
      <c r="Y19" s="57"/>
      <c r="Z19" s="57"/>
    </row>
    <row r="20" spans="1:26" ht="12.75" customHeight="1" x14ac:dyDescent="0.25">
      <c r="A20" s="16" t="s">
        <v>3</v>
      </c>
      <c r="B20" s="17">
        <f t="shared" ref="B20:P20" si="1">SUM(B7:B19)</f>
        <v>4659</v>
      </c>
      <c r="C20" s="17">
        <f t="shared" si="1"/>
        <v>15063</v>
      </c>
      <c r="D20" s="17">
        <f t="shared" si="1"/>
        <v>5</v>
      </c>
      <c r="E20" s="17">
        <f t="shared" si="1"/>
        <v>42001</v>
      </c>
      <c r="F20" s="17">
        <f t="shared" si="1"/>
        <v>17</v>
      </c>
      <c r="G20" s="17">
        <f t="shared" si="1"/>
        <v>7330</v>
      </c>
      <c r="H20" s="17">
        <f t="shared" si="1"/>
        <v>82</v>
      </c>
      <c r="I20" s="17">
        <f t="shared" si="1"/>
        <v>1857</v>
      </c>
      <c r="J20" s="17">
        <f t="shared" si="1"/>
        <v>0</v>
      </c>
      <c r="K20" s="17">
        <f t="shared" si="1"/>
        <v>2520</v>
      </c>
      <c r="L20" s="17">
        <f t="shared" si="1"/>
        <v>0</v>
      </c>
      <c r="M20" s="17">
        <f t="shared" si="1"/>
        <v>7</v>
      </c>
      <c r="N20" s="17">
        <f t="shared" si="1"/>
        <v>91</v>
      </c>
      <c r="O20" s="18">
        <f t="shared" si="1"/>
        <v>73632</v>
      </c>
      <c r="P20" s="17">
        <f t="shared" si="1"/>
        <v>254</v>
      </c>
      <c r="Q20" s="57"/>
      <c r="R20" s="57"/>
      <c r="S20" s="57"/>
      <c r="T20" s="57"/>
      <c r="U20" s="57"/>
      <c r="V20" s="57"/>
      <c r="W20" s="57"/>
      <c r="X20" s="57"/>
      <c r="Y20" s="57"/>
      <c r="Z20" s="57"/>
    </row>
    <row r="21" spans="1:26" ht="12.75" customHeight="1" x14ac:dyDescent="0.25">
      <c r="Q21" s="57"/>
      <c r="R21" s="57"/>
      <c r="S21" s="57"/>
      <c r="T21" s="57"/>
      <c r="U21" s="57"/>
      <c r="V21" s="57"/>
      <c r="W21" s="57"/>
      <c r="X21" s="57"/>
      <c r="Y21" s="57"/>
      <c r="Z21" s="57"/>
    </row>
    <row r="22" spans="1:26" ht="12.75" customHeight="1" x14ac:dyDescent="0.25">
      <c r="O22" s="4" t="s">
        <v>34</v>
      </c>
      <c r="P22" s="19">
        <f>O20/P20</f>
        <v>289.88976377952758</v>
      </c>
      <c r="Q22" s="57"/>
      <c r="R22" s="57"/>
      <c r="S22" s="57"/>
      <c r="T22" s="57"/>
      <c r="U22" s="57"/>
      <c r="V22" s="57"/>
      <c r="W22" s="57"/>
      <c r="X22" s="57"/>
      <c r="Y22" s="57"/>
      <c r="Z22" s="57"/>
    </row>
    <row r="23" spans="1:26" ht="12.75" customHeight="1" x14ac:dyDescent="0.25">
      <c r="Q23" s="57"/>
      <c r="R23" s="57"/>
      <c r="S23" s="57"/>
      <c r="T23" s="57"/>
      <c r="U23" s="57"/>
      <c r="V23" s="57"/>
      <c r="W23" s="57"/>
      <c r="X23" s="57"/>
      <c r="Y23" s="57"/>
      <c r="Z23" s="57"/>
    </row>
    <row r="24" spans="1:26" ht="12.75" customHeight="1" x14ac:dyDescent="0.25">
      <c r="Q24" s="57"/>
      <c r="R24" s="57"/>
      <c r="S24" s="57"/>
      <c r="T24" s="57"/>
      <c r="U24" s="57"/>
      <c r="V24" s="57"/>
      <c r="W24" s="57"/>
      <c r="X24" s="57"/>
      <c r="Y24" s="57"/>
      <c r="Z24" s="57"/>
    </row>
    <row r="25" spans="1:26" ht="12.75" customHeight="1" x14ac:dyDescent="0.25">
      <c r="A25" s="5" t="s">
        <v>73</v>
      </c>
      <c r="B25" s="20">
        <f t="shared" ref="B25:O25" si="2">B20*9</f>
        <v>41931</v>
      </c>
      <c r="C25" s="20">
        <f t="shared" si="2"/>
        <v>135567</v>
      </c>
      <c r="D25" s="20">
        <f t="shared" si="2"/>
        <v>45</v>
      </c>
      <c r="E25" s="20">
        <f t="shared" si="2"/>
        <v>378009</v>
      </c>
      <c r="F25" s="20">
        <f t="shared" si="2"/>
        <v>153</v>
      </c>
      <c r="G25" s="20">
        <f t="shared" si="2"/>
        <v>65970</v>
      </c>
      <c r="H25" s="20">
        <f t="shared" si="2"/>
        <v>738</v>
      </c>
      <c r="I25" s="20">
        <f t="shared" si="2"/>
        <v>16713</v>
      </c>
      <c r="J25" s="20">
        <f t="shared" si="2"/>
        <v>0</v>
      </c>
      <c r="K25" s="20">
        <f t="shared" si="2"/>
        <v>22680</v>
      </c>
      <c r="L25" s="20">
        <f t="shared" si="2"/>
        <v>0</v>
      </c>
      <c r="M25" s="20">
        <f t="shared" si="2"/>
        <v>63</v>
      </c>
      <c r="N25" s="20">
        <f t="shared" si="2"/>
        <v>819</v>
      </c>
      <c r="O25" s="21">
        <f t="shared" si="2"/>
        <v>662688</v>
      </c>
      <c r="Q25" s="57"/>
      <c r="R25" s="57"/>
      <c r="S25" s="57"/>
      <c r="T25" s="57"/>
      <c r="U25" s="57"/>
      <c r="V25" s="57"/>
      <c r="W25" s="57"/>
      <c r="X25" s="57"/>
      <c r="Y25" s="57"/>
      <c r="Z25" s="57"/>
    </row>
    <row r="26" spans="1:26" ht="12.75" customHeight="1" x14ac:dyDescent="0.25">
      <c r="A26" s="15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3"/>
      <c r="Q26" s="57"/>
      <c r="R26" s="57"/>
      <c r="S26" s="57"/>
      <c r="T26" s="57"/>
      <c r="U26" s="57"/>
      <c r="V26" s="57"/>
      <c r="W26" s="57"/>
      <c r="X26" s="57"/>
      <c r="Y26" s="57"/>
      <c r="Z26" s="57"/>
    </row>
    <row r="27" spans="1:26" ht="12.75" customHeight="1" x14ac:dyDescent="0.25">
      <c r="A27" s="105" t="s">
        <v>74</v>
      </c>
      <c r="B27" s="20">
        <v>2.85</v>
      </c>
      <c r="C27" s="20">
        <v>3.65</v>
      </c>
      <c r="D27" s="20">
        <v>3.65</v>
      </c>
      <c r="E27" s="20">
        <v>4.3</v>
      </c>
      <c r="F27" s="20">
        <v>4.3</v>
      </c>
      <c r="G27" s="20">
        <v>6</v>
      </c>
      <c r="H27" s="20">
        <v>6</v>
      </c>
      <c r="I27" s="20">
        <v>6.6</v>
      </c>
      <c r="J27" s="20">
        <v>6.6</v>
      </c>
      <c r="K27" s="20">
        <v>7.65</v>
      </c>
      <c r="L27" s="20">
        <v>7.65</v>
      </c>
      <c r="M27" s="20">
        <v>9</v>
      </c>
      <c r="N27" s="20">
        <v>9</v>
      </c>
      <c r="O27" s="24"/>
      <c r="Q27" s="57"/>
      <c r="R27" s="57"/>
      <c r="S27" s="57"/>
      <c r="T27" s="57"/>
      <c r="U27" s="57"/>
      <c r="V27" s="57"/>
      <c r="W27" s="57"/>
      <c r="X27" s="57"/>
      <c r="Y27" s="57"/>
      <c r="Z27" s="57"/>
    </row>
    <row r="28" spans="1:26" ht="12.75" customHeight="1" x14ac:dyDescent="0.25">
      <c r="A28" s="105"/>
      <c r="B28" s="25">
        <f t="shared" ref="B28:N28" si="3">B27*B20</f>
        <v>13278.15</v>
      </c>
      <c r="C28" s="25">
        <f t="shared" si="3"/>
        <v>54979.95</v>
      </c>
      <c r="D28" s="25">
        <f t="shared" si="3"/>
        <v>18.25</v>
      </c>
      <c r="E28" s="25">
        <f t="shared" si="3"/>
        <v>180604.3</v>
      </c>
      <c r="F28" s="25">
        <f t="shared" si="3"/>
        <v>73.099999999999994</v>
      </c>
      <c r="G28" s="25">
        <f t="shared" si="3"/>
        <v>43980</v>
      </c>
      <c r="H28" s="25">
        <f t="shared" si="3"/>
        <v>492</v>
      </c>
      <c r="I28" s="25">
        <f t="shared" si="3"/>
        <v>12256.199999999999</v>
      </c>
      <c r="J28" s="25">
        <f t="shared" si="3"/>
        <v>0</v>
      </c>
      <c r="K28" s="25">
        <f t="shared" si="3"/>
        <v>19278</v>
      </c>
      <c r="L28" s="25">
        <f t="shared" si="3"/>
        <v>0</v>
      </c>
      <c r="M28" s="25">
        <f t="shared" si="3"/>
        <v>63</v>
      </c>
      <c r="N28" s="25">
        <f t="shared" si="3"/>
        <v>819</v>
      </c>
      <c r="O28" s="26">
        <f>SUM(B28:N28)</f>
        <v>325841.95</v>
      </c>
      <c r="Q28" s="57"/>
      <c r="R28" s="57"/>
      <c r="S28" s="57"/>
      <c r="T28" s="57"/>
      <c r="U28" s="57"/>
      <c r="V28" s="57"/>
      <c r="W28" s="57"/>
      <c r="X28" s="57"/>
      <c r="Y28" s="57"/>
      <c r="Z28" s="57"/>
    </row>
    <row r="29" spans="1:26" ht="12.75" customHeight="1" x14ac:dyDescent="0.25">
      <c r="A29" s="15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3"/>
      <c r="Q29" s="57"/>
      <c r="R29" s="57"/>
      <c r="S29" s="57"/>
      <c r="T29" s="57"/>
      <c r="U29" s="57"/>
      <c r="V29" s="57"/>
      <c r="W29" s="57"/>
      <c r="X29" s="57"/>
      <c r="Y29" s="57"/>
      <c r="Z29" s="57"/>
    </row>
    <row r="30" spans="1:26" ht="12.75" customHeight="1" x14ac:dyDescent="0.25">
      <c r="A30" s="5" t="s">
        <v>62</v>
      </c>
      <c r="B30" s="106">
        <f>B20*1.29</f>
        <v>6010.1100000000006</v>
      </c>
      <c r="C30" s="106">
        <f>C20*1.29</f>
        <v>19431.27</v>
      </c>
      <c r="D30" s="20"/>
      <c r="E30" s="106">
        <f>E20*1.29</f>
        <v>54181.29</v>
      </c>
      <c r="F30" s="20"/>
      <c r="G30" s="20"/>
      <c r="H30" s="20"/>
      <c r="I30" s="20"/>
      <c r="J30" s="20"/>
      <c r="K30" s="20"/>
      <c r="L30" s="20"/>
      <c r="M30" s="20"/>
      <c r="N30" s="20"/>
      <c r="O30" s="104">
        <f>SUM(B30:N31)</f>
        <v>79622.67</v>
      </c>
      <c r="Q30" s="57"/>
      <c r="R30" s="57"/>
      <c r="S30" s="57"/>
      <c r="T30" s="57"/>
      <c r="U30" s="57"/>
      <c r="V30" s="57"/>
      <c r="W30" s="57"/>
      <c r="X30" s="57"/>
      <c r="Y30" s="57"/>
      <c r="Z30" s="57"/>
    </row>
    <row r="31" spans="1:26" ht="12.75" customHeight="1" x14ac:dyDescent="0.25">
      <c r="A31" s="27">
        <v>1.29</v>
      </c>
      <c r="B31" s="106"/>
      <c r="C31" s="106"/>
      <c r="D31" s="25"/>
      <c r="E31" s="106"/>
      <c r="F31" s="25"/>
      <c r="G31" s="25"/>
      <c r="H31" s="25"/>
      <c r="I31" s="25"/>
      <c r="J31" s="25"/>
      <c r="K31" s="25"/>
      <c r="L31" s="25"/>
      <c r="M31" s="25"/>
      <c r="N31" s="25"/>
      <c r="O31" s="104"/>
      <c r="Q31" s="57"/>
      <c r="R31" s="57"/>
      <c r="S31" s="57"/>
      <c r="T31" s="57"/>
      <c r="U31" s="57"/>
      <c r="V31" s="57"/>
      <c r="W31" s="57"/>
      <c r="X31" s="57"/>
      <c r="Y31" s="57"/>
      <c r="Z31" s="57"/>
    </row>
    <row r="32" spans="1:26" ht="12.75" customHeight="1" x14ac:dyDescent="0.25">
      <c r="A32" s="15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3"/>
      <c r="Q32" s="57"/>
      <c r="R32" s="57"/>
      <c r="S32" s="57"/>
      <c r="T32" s="57"/>
      <c r="U32" s="57"/>
      <c r="V32" s="57"/>
      <c r="W32" s="57"/>
      <c r="X32" s="57"/>
      <c r="Y32" s="57"/>
      <c r="Z32" s="57"/>
    </row>
    <row r="33" spans="1:26" ht="12.75" customHeight="1" x14ac:dyDescent="0.25">
      <c r="A33" s="13" t="s">
        <v>63</v>
      </c>
      <c r="B33" s="25">
        <f t="shared" ref="B33:N33" si="4">B25-B28-B30</f>
        <v>22642.739999999998</v>
      </c>
      <c r="C33" s="25">
        <f t="shared" si="4"/>
        <v>61155.78</v>
      </c>
      <c r="D33" s="25">
        <f t="shared" si="4"/>
        <v>26.75</v>
      </c>
      <c r="E33" s="25">
        <f t="shared" si="4"/>
        <v>143223.41</v>
      </c>
      <c r="F33" s="25">
        <f t="shared" si="4"/>
        <v>79.900000000000006</v>
      </c>
      <c r="G33" s="25">
        <f t="shared" si="4"/>
        <v>21990</v>
      </c>
      <c r="H33" s="25">
        <f t="shared" si="4"/>
        <v>246</v>
      </c>
      <c r="I33" s="25">
        <f t="shared" si="4"/>
        <v>4456.8000000000011</v>
      </c>
      <c r="J33" s="25">
        <f t="shared" si="4"/>
        <v>0</v>
      </c>
      <c r="K33" s="25">
        <f t="shared" si="4"/>
        <v>3402</v>
      </c>
      <c r="L33" s="25">
        <f t="shared" si="4"/>
        <v>0</v>
      </c>
      <c r="M33" s="25">
        <f t="shared" si="4"/>
        <v>0</v>
      </c>
      <c r="N33" s="25">
        <f t="shared" si="4"/>
        <v>0</v>
      </c>
      <c r="O33" s="26">
        <f>SUM(B33:N33)</f>
        <v>257223.37999999998</v>
      </c>
      <c r="Q33" s="57"/>
      <c r="R33" s="57"/>
      <c r="S33" s="57"/>
      <c r="T33" s="57"/>
      <c r="U33" s="57"/>
      <c r="V33" s="57"/>
      <c r="W33" s="57"/>
      <c r="X33" s="57"/>
      <c r="Y33" s="57"/>
      <c r="Z33" s="57"/>
    </row>
    <row r="34" spans="1:26" ht="12.75" customHeight="1" x14ac:dyDescent="0.25">
      <c r="Q34" s="57"/>
      <c r="R34" s="57"/>
      <c r="S34" s="57"/>
      <c r="T34" s="57"/>
      <c r="U34" s="57"/>
      <c r="V34" s="57"/>
      <c r="W34" s="57"/>
      <c r="X34" s="57"/>
      <c r="Y34" s="57"/>
      <c r="Z34" s="57"/>
    </row>
    <row r="35" spans="1:26" ht="12.75" customHeight="1" x14ac:dyDescent="0.25">
      <c r="Q35" s="57"/>
      <c r="R35" s="57"/>
      <c r="S35" s="57"/>
      <c r="T35" s="57"/>
      <c r="U35" s="57"/>
      <c r="V35" s="57"/>
      <c r="W35" s="57"/>
      <c r="X35" s="57"/>
      <c r="Y35" s="57"/>
      <c r="Z35" s="57"/>
    </row>
    <row r="36" spans="1:26" ht="12.75" customHeight="1" x14ac:dyDescent="0.25">
      <c r="Q36" s="57"/>
      <c r="R36" s="57"/>
      <c r="S36" s="57"/>
      <c r="T36" s="57"/>
      <c r="U36" s="57"/>
      <c r="V36" s="57"/>
      <c r="W36" s="57"/>
      <c r="X36" s="57"/>
      <c r="Y36" s="57"/>
      <c r="Z36" s="57"/>
    </row>
    <row r="37" spans="1:26" ht="12.75" customHeight="1" x14ac:dyDescent="0.25">
      <c r="Q37" s="57"/>
      <c r="R37" s="57"/>
      <c r="S37" s="57"/>
      <c r="T37" s="57"/>
      <c r="U37" s="57"/>
      <c r="V37" s="57"/>
      <c r="W37" s="57"/>
      <c r="X37" s="57"/>
      <c r="Y37" s="57"/>
      <c r="Z37" s="57"/>
    </row>
    <row r="38" spans="1:26" ht="12.75" customHeight="1" x14ac:dyDescent="0.25">
      <c r="Q38" s="57"/>
      <c r="R38" s="57"/>
      <c r="S38" s="57"/>
      <c r="T38" s="57"/>
      <c r="U38" s="57"/>
      <c r="V38" s="57"/>
      <c r="W38" s="57"/>
      <c r="X38" s="57"/>
      <c r="Y38" s="57"/>
      <c r="Z38" s="57"/>
    </row>
    <row r="39" spans="1:26" ht="12.75" customHeight="1" x14ac:dyDescent="0.25">
      <c r="Q39" s="57"/>
      <c r="R39" s="57"/>
      <c r="S39" s="57"/>
      <c r="T39" s="57"/>
      <c r="U39" s="57"/>
      <c r="V39" s="57"/>
      <c r="W39" s="57"/>
      <c r="X39" s="57"/>
      <c r="Y39" s="57"/>
      <c r="Z39" s="57"/>
    </row>
    <row r="40" spans="1:26" ht="12.75" customHeight="1" x14ac:dyDescent="0.25">
      <c r="Q40" s="57"/>
      <c r="R40" s="57"/>
      <c r="S40" s="57"/>
      <c r="T40" s="57"/>
      <c r="U40" s="57"/>
      <c r="V40" s="57"/>
      <c r="W40" s="57"/>
      <c r="X40" s="57"/>
      <c r="Y40" s="57"/>
      <c r="Z40" s="57"/>
    </row>
    <row r="41" spans="1:26" ht="12.75" customHeight="1" x14ac:dyDescent="0.25">
      <c r="Q41" s="57"/>
      <c r="R41" s="57"/>
      <c r="S41" s="57"/>
      <c r="T41" s="57"/>
      <c r="U41" s="57"/>
      <c r="V41" s="57"/>
      <c r="W41" s="57"/>
      <c r="X41" s="57"/>
      <c r="Y41" s="57"/>
      <c r="Z41" s="57"/>
    </row>
    <row r="42" spans="1:26" ht="12.75" customHeight="1" x14ac:dyDescent="0.25">
      <c r="Q42" s="57"/>
      <c r="R42" s="57"/>
      <c r="S42" s="57"/>
      <c r="T42" s="57"/>
      <c r="U42" s="57"/>
      <c r="V42" s="57"/>
      <c r="W42" s="57"/>
      <c r="X42" s="57"/>
      <c r="Y42" s="57"/>
      <c r="Z42" s="57"/>
    </row>
    <row r="43" spans="1:26" ht="12.75" customHeight="1" x14ac:dyDescent="0.25">
      <c r="Q43" s="57"/>
      <c r="R43" s="57"/>
      <c r="S43" s="57"/>
      <c r="T43" s="57"/>
      <c r="U43" s="57"/>
      <c r="V43" s="57"/>
      <c r="W43" s="57"/>
      <c r="X43" s="57"/>
      <c r="Y43" s="57"/>
      <c r="Z43" s="57"/>
    </row>
    <row r="44" spans="1:26" ht="12.75" customHeight="1" x14ac:dyDescent="0.25">
      <c r="Q44" s="57"/>
      <c r="R44" s="57"/>
      <c r="S44" s="57"/>
      <c r="T44" s="57"/>
      <c r="U44" s="57"/>
      <c r="V44" s="57"/>
      <c r="W44" s="57"/>
      <c r="X44" s="57"/>
      <c r="Y44" s="57"/>
      <c r="Z44" s="57"/>
    </row>
    <row r="45" spans="1:26" ht="12.75" customHeight="1" x14ac:dyDescent="0.25">
      <c r="Q45" s="57"/>
      <c r="R45" s="57"/>
      <c r="S45" s="57"/>
      <c r="T45" s="57"/>
      <c r="U45" s="57"/>
      <c r="V45" s="57"/>
      <c r="W45" s="57"/>
      <c r="X45" s="57"/>
      <c r="Y45" s="57"/>
      <c r="Z45" s="57"/>
    </row>
    <row r="46" spans="1:26" ht="12.75" customHeight="1" x14ac:dyDescent="0.25">
      <c r="Q46" s="57"/>
      <c r="R46" s="57"/>
      <c r="S46" s="57"/>
      <c r="T46" s="57"/>
      <c r="U46" s="57"/>
      <c r="V46" s="57"/>
      <c r="W46" s="57"/>
      <c r="X46" s="57"/>
      <c r="Y46" s="57"/>
      <c r="Z46" s="57"/>
    </row>
    <row r="47" spans="1:26" ht="12.75" customHeight="1" x14ac:dyDescent="0.25">
      <c r="Q47" s="57"/>
      <c r="R47" s="57"/>
      <c r="S47" s="57"/>
      <c r="T47" s="57"/>
      <c r="U47" s="57"/>
      <c r="V47" s="57"/>
      <c r="W47" s="57"/>
      <c r="X47" s="57"/>
      <c r="Y47" s="57"/>
      <c r="Z47" s="57"/>
    </row>
    <row r="48" spans="1:26" ht="12.75" customHeight="1" x14ac:dyDescent="0.25">
      <c r="Q48" s="57"/>
      <c r="R48" s="57"/>
      <c r="S48" s="57"/>
      <c r="T48" s="57"/>
      <c r="U48" s="57"/>
      <c r="V48" s="57"/>
      <c r="W48" s="57"/>
      <c r="X48" s="57"/>
      <c r="Y48" s="57"/>
      <c r="Z48" s="57"/>
    </row>
    <row r="49" spans="17:26" ht="12.75" customHeight="1" x14ac:dyDescent="0.25">
      <c r="Q49" s="57"/>
      <c r="R49" s="57"/>
      <c r="S49" s="57"/>
      <c r="T49" s="57"/>
      <c r="U49" s="57"/>
      <c r="V49" s="57"/>
      <c r="W49" s="57"/>
      <c r="X49" s="57"/>
      <c r="Y49" s="57"/>
      <c r="Z49" s="57"/>
    </row>
    <row r="50" spans="17:26" ht="12.75" customHeight="1" x14ac:dyDescent="0.25">
      <c r="Q50" s="57"/>
      <c r="R50" s="57"/>
      <c r="S50" s="57"/>
      <c r="T50" s="57"/>
      <c r="U50" s="57"/>
      <c r="V50" s="57"/>
      <c r="W50" s="57"/>
      <c r="X50" s="57"/>
      <c r="Y50" s="57"/>
      <c r="Z50" s="57"/>
    </row>
    <row r="51" spans="17:26" ht="12.75" customHeight="1" x14ac:dyDescent="0.25">
      <c r="Q51" s="57"/>
      <c r="R51" s="57"/>
      <c r="S51" s="57"/>
      <c r="T51" s="57"/>
      <c r="U51" s="57"/>
      <c r="V51" s="57"/>
      <c r="W51" s="57"/>
      <c r="X51" s="57"/>
      <c r="Y51" s="57"/>
      <c r="Z51" s="57"/>
    </row>
    <row r="52" spans="17:26" ht="12.75" customHeight="1" x14ac:dyDescent="0.25">
      <c r="Q52" s="57"/>
      <c r="R52" s="57"/>
      <c r="S52" s="57"/>
      <c r="T52" s="57"/>
      <c r="U52" s="57"/>
      <c r="V52" s="57"/>
      <c r="W52" s="57"/>
      <c r="X52" s="57"/>
      <c r="Y52" s="57"/>
      <c r="Z52" s="57"/>
    </row>
    <row r="53" spans="17:26" ht="12.75" customHeight="1" x14ac:dyDescent="0.25">
      <c r="Q53" s="57"/>
      <c r="R53" s="57"/>
      <c r="S53" s="57"/>
      <c r="T53" s="57"/>
      <c r="U53" s="57"/>
      <c r="V53" s="57"/>
      <c r="W53" s="57"/>
      <c r="X53" s="57"/>
      <c r="Y53" s="57"/>
      <c r="Z53" s="57"/>
    </row>
    <row r="54" spans="17:26" ht="12.75" customHeight="1" x14ac:dyDescent="0.25">
      <c r="Q54" s="57"/>
      <c r="R54" s="57"/>
      <c r="S54" s="57"/>
      <c r="T54" s="57"/>
      <c r="U54" s="57"/>
      <c r="V54" s="57"/>
      <c r="W54" s="57"/>
      <c r="X54" s="57"/>
      <c r="Y54" s="57"/>
      <c r="Z54" s="57"/>
    </row>
    <row r="55" spans="17:26" ht="12.75" customHeight="1" x14ac:dyDescent="0.25">
      <c r="Q55" s="57"/>
      <c r="R55" s="57"/>
      <c r="S55" s="57"/>
      <c r="T55" s="57"/>
      <c r="U55" s="57"/>
      <c r="V55" s="57"/>
      <c r="W55" s="57"/>
      <c r="X55" s="57"/>
      <c r="Y55" s="57"/>
      <c r="Z55" s="57"/>
    </row>
    <row r="56" spans="17:26" ht="12.75" customHeight="1" x14ac:dyDescent="0.25">
      <c r="Q56" s="57"/>
      <c r="R56" s="57"/>
      <c r="S56" s="57"/>
      <c r="T56" s="57"/>
      <c r="U56" s="57"/>
      <c r="V56" s="57"/>
      <c r="W56" s="57"/>
      <c r="X56" s="57"/>
      <c r="Y56" s="57"/>
      <c r="Z56" s="57"/>
    </row>
    <row r="57" spans="17:26" ht="12.75" customHeight="1" x14ac:dyDescent="0.25">
      <c r="Q57" s="57"/>
      <c r="R57" s="57"/>
      <c r="S57" s="57"/>
      <c r="T57" s="57"/>
      <c r="U57" s="57"/>
      <c r="V57" s="57"/>
      <c r="W57" s="57"/>
      <c r="X57" s="57"/>
      <c r="Y57" s="57"/>
      <c r="Z57" s="57"/>
    </row>
    <row r="58" spans="17:26" ht="12.75" customHeight="1" x14ac:dyDescent="0.25">
      <c r="Q58" s="57"/>
      <c r="R58" s="57"/>
      <c r="S58" s="57"/>
      <c r="T58" s="57"/>
      <c r="U58" s="57"/>
      <c r="V58" s="57"/>
      <c r="W58" s="57"/>
      <c r="X58" s="57"/>
      <c r="Y58" s="57"/>
      <c r="Z58" s="57"/>
    </row>
    <row r="59" spans="17:26" ht="12.75" customHeight="1" x14ac:dyDescent="0.25">
      <c r="Q59" s="57"/>
      <c r="R59" s="57"/>
      <c r="S59" s="57"/>
      <c r="T59" s="57"/>
      <c r="U59" s="57"/>
      <c r="V59" s="57"/>
      <c r="W59" s="57"/>
      <c r="X59" s="57"/>
      <c r="Y59" s="57"/>
      <c r="Z59" s="57"/>
    </row>
    <row r="60" spans="17:26" ht="12.75" customHeight="1" x14ac:dyDescent="0.25">
      <c r="Q60" s="57"/>
      <c r="R60" s="57"/>
      <c r="S60" s="57"/>
      <c r="T60" s="57"/>
      <c r="U60" s="57"/>
      <c r="V60" s="57"/>
      <c r="W60" s="57"/>
      <c r="X60" s="57"/>
      <c r="Y60" s="57"/>
      <c r="Z60" s="57"/>
    </row>
    <row r="61" spans="17:26" ht="12.75" customHeight="1" x14ac:dyDescent="0.25">
      <c r="Q61" s="57"/>
      <c r="R61" s="57"/>
      <c r="S61" s="57"/>
      <c r="T61" s="57"/>
      <c r="U61" s="57"/>
      <c r="V61" s="57"/>
      <c r="W61" s="57"/>
      <c r="X61" s="57"/>
      <c r="Y61" s="57"/>
      <c r="Z61" s="57"/>
    </row>
    <row r="62" spans="17:26" ht="12.75" customHeight="1" x14ac:dyDescent="0.25">
      <c r="Q62" s="57"/>
      <c r="R62" s="57"/>
      <c r="S62" s="57"/>
      <c r="T62" s="57"/>
      <c r="U62" s="57"/>
      <c r="V62" s="57"/>
      <c r="W62" s="57"/>
      <c r="X62" s="57"/>
      <c r="Y62" s="57"/>
      <c r="Z62" s="57"/>
    </row>
    <row r="63" spans="17:26" ht="12.75" customHeight="1" x14ac:dyDescent="0.25">
      <c r="Q63" s="57"/>
      <c r="R63" s="57"/>
      <c r="S63" s="57"/>
      <c r="T63" s="57"/>
      <c r="U63" s="57"/>
      <c r="V63" s="57"/>
      <c r="W63" s="57"/>
      <c r="X63" s="57"/>
      <c r="Y63" s="57"/>
      <c r="Z63" s="57"/>
    </row>
    <row r="64" spans="17:26" ht="12.75" customHeight="1" x14ac:dyDescent="0.25">
      <c r="Q64" s="57"/>
      <c r="R64" s="57"/>
      <c r="S64" s="57"/>
      <c r="T64" s="57"/>
      <c r="U64" s="57"/>
      <c r="V64" s="57"/>
      <c r="W64" s="57"/>
      <c r="X64" s="57"/>
      <c r="Y64" s="57"/>
      <c r="Z64" s="57"/>
    </row>
    <row r="65" spans="17:26" ht="12.75" customHeight="1" x14ac:dyDescent="0.25">
      <c r="Q65" s="57"/>
      <c r="R65" s="57"/>
      <c r="S65" s="57"/>
      <c r="T65" s="57"/>
      <c r="U65" s="57"/>
      <c r="V65" s="57"/>
      <c r="W65" s="57"/>
      <c r="X65" s="57"/>
      <c r="Y65" s="57"/>
      <c r="Z65" s="57"/>
    </row>
    <row r="66" spans="17:26" ht="12.75" customHeight="1" x14ac:dyDescent="0.25">
      <c r="Q66" s="57"/>
      <c r="R66" s="57"/>
      <c r="S66" s="57"/>
      <c r="T66" s="57"/>
      <c r="U66" s="57"/>
      <c r="V66" s="57"/>
      <c r="W66" s="57"/>
      <c r="X66" s="57"/>
      <c r="Y66" s="57"/>
      <c r="Z66" s="57"/>
    </row>
    <row r="67" spans="17:26" ht="12.75" customHeight="1" x14ac:dyDescent="0.25">
      <c r="Q67" s="57"/>
      <c r="R67" s="57"/>
      <c r="S67" s="57"/>
      <c r="T67" s="57"/>
      <c r="U67" s="57"/>
      <c r="V67" s="57"/>
      <c r="W67" s="57"/>
      <c r="X67" s="57"/>
      <c r="Y67" s="57"/>
      <c r="Z67" s="57"/>
    </row>
    <row r="68" spans="17:26" ht="12.75" customHeight="1" x14ac:dyDescent="0.25">
      <c r="Q68" s="57"/>
      <c r="R68" s="57"/>
      <c r="S68" s="57"/>
      <c r="T68" s="57"/>
      <c r="U68" s="57"/>
      <c r="V68" s="57"/>
      <c r="W68" s="57"/>
      <c r="X68" s="57"/>
      <c r="Y68" s="57"/>
      <c r="Z68" s="57"/>
    </row>
    <row r="69" spans="17:26" ht="12.75" customHeight="1" x14ac:dyDescent="0.25">
      <c r="Q69" s="57"/>
      <c r="R69" s="57"/>
      <c r="S69" s="57"/>
      <c r="T69" s="57"/>
      <c r="U69" s="57"/>
      <c r="V69" s="57"/>
      <c r="W69" s="57"/>
      <c r="X69" s="57"/>
      <c r="Y69" s="57"/>
      <c r="Z69" s="57"/>
    </row>
    <row r="70" spans="17:26" ht="12.75" customHeight="1" x14ac:dyDescent="0.25">
      <c r="Q70" s="57"/>
      <c r="R70" s="57"/>
      <c r="S70" s="57"/>
      <c r="T70" s="57"/>
      <c r="U70" s="57"/>
      <c r="V70" s="57"/>
      <c r="W70" s="57"/>
      <c r="X70" s="57"/>
      <c r="Y70" s="57"/>
      <c r="Z70" s="57"/>
    </row>
    <row r="71" spans="17:26" ht="12.75" customHeight="1" x14ac:dyDescent="0.25">
      <c r="Q71" s="57"/>
      <c r="R71" s="57"/>
      <c r="S71" s="57"/>
      <c r="T71" s="57"/>
      <c r="U71" s="57"/>
      <c r="V71" s="57"/>
      <c r="W71" s="57"/>
      <c r="X71" s="57"/>
      <c r="Y71" s="57"/>
      <c r="Z71" s="57"/>
    </row>
    <row r="72" spans="17:26" ht="12.75" customHeight="1" x14ac:dyDescent="0.25">
      <c r="Q72" s="57"/>
      <c r="R72" s="57"/>
      <c r="S72" s="57"/>
      <c r="T72" s="57"/>
      <c r="U72" s="57"/>
      <c r="V72" s="57"/>
      <c r="W72" s="57"/>
      <c r="X72" s="57"/>
      <c r="Y72" s="57"/>
      <c r="Z72" s="57"/>
    </row>
    <row r="73" spans="17:26" ht="12.75" customHeight="1" x14ac:dyDescent="0.25">
      <c r="Q73" s="57"/>
      <c r="R73" s="57"/>
      <c r="S73" s="57"/>
      <c r="T73" s="57"/>
      <c r="U73" s="57"/>
      <c r="V73" s="57"/>
      <c r="W73" s="57"/>
      <c r="X73" s="57"/>
      <c r="Y73" s="57"/>
      <c r="Z73" s="57"/>
    </row>
    <row r="74" spans="17:26" ht="12.75" customHeight="1" x14ac:dyDescent="0.25">
      <c r="Q74" s="57"/>
      <c r="R74" s="57"/>
      <c r="S74" s="57"/>
      <c r="T74" s="57"/>
      <c r="U74" s="57"/>
      <c r="V74" s="57"/>
      <c r="W74" s="57"/>
      <c r="X74" s="57"/>
      <c r="Y74" s="57"/>
      <c r="Z74" s="57"/>
    </row>
    <row r="75" spans="17:26" ht="12.75" customHeight="1" x14ac:dyDescent="0.25">
      <c r="Q75" s="57"/>
      <c r="R75" s="57"/>
      <c r="S75" s="57"/>
      <c r="T75" s="57"/>
      <c r="U75" s="57"/>
      <c r="V75" s="57"/>
      <c r="W75" s="57"/>
      <c r="X75" s="57"/>
      <c r="Y75" s="57"/>
      <c r="Z75" s="57"/>
    </row>
    <row r="76" spans="17:26" ht="12.75" customHeight="1" x14ac:dyDescent="0.25">
      <c r="Q76" s="57"/>
      <c r="R76" s="57"/>
      <c r="S76" s="57"/>
      <c r="T76" s="57"/>
      <c r="U76" s="57"/>
      <c r="V76" s="57"/>
      <c r="W76" s="57"/>
      <c r="X76" s="57"/>
      <c r="Y76" s="57"/>
      <c r="Z76" s="57"/>
    </row>
    <row r="77" spans="17:26" ht="12.75" customHeight="1" x14ac:dyDescent="0.25">
      <c r="Q77" s="57"/>
      <c r="R77" s="57"/>
      <c r="S77" s="57"/>
      <c r="T77" s="57"/>
      <c r="U77" s="57"/>
      <c r="V77" s="57"/>
      <c r="W77" s="57"/>
      <c r="X77" s="57"/>
      <c r="Y77" s="57"/>
      <c r="Z77" s="57"/>
    </row>
    <row r="78" spans="17:26" ht="12.75" customHeight="1" x14ac:dyDescent="0.25">
      <c r="Q78" s="57"/>
      <c r="R78" s="57"/>
      <c r="S78" s="57"/>
      <c r="T78" s="57"/>
      <c r="U78" s="57"/>
      <c r="V78" s="57"/>
      <c r="W78" s="57"/>
      <c r="X78" s="57"/>
      <c r="Y78" s="57"/>
      <c r="Z78" s="57"/>
    </row>
    <row r="79" spans="17:26" ht="12.75" customHeight="1" x14ac:dyDescent="0.25">
      <c r="Q79" s="57"/>
      <c r="R79" s="57"/>
      <c r="S79" s="57"/>
      <c r="T79" s="57"/>
      <c r="U79" s="57"/>
      <c r="V79" s="57"/>
      <c r="W79" s="57"/>
      <c r="X79" s="57"/>
      <c r="Y79" s="57"/>
      <c r="Z79" s="57"/>
    </row>
    <row r="80" spans="17:26" ht="12.75" customHeight="1" x14ac:dyDescent="0.25">
      <c r="Q80" s="57"/>
      <c r="R80" s="57"/>
      <c r="S80" s="57"/>
      <c r="T80" s="57"/>
      <c r="U80" s="57"/>
      <c r="V80" s="57"/>
      <c r="W80" s="57"/>
      <c r="X80" s="57"/>
      <c r="Y80" s="57"/>
      <c r="Z80" s="57"/>
    </row>
    <row r="81" spans="17:26" ht="12.75" customHeight="1" x14ac:dyDescent="0.25">
      <c r="Q81" s="57"/>
      <c r="R81" s="57"/>
      <c r="S81" s="57"/>
      <c r="T81" s="57"/>
      <c r="U81" s="57"/>
      <c r="V81" s="57"/>
      <c r="W81" s="57"/>
      <c r="X81" s="57"/>
      <c r="Y81" s="57"/>
      <c r="Z81" s="57"/>
    </row>
    <row r="82" spans="17:26" ht="12.75" customHeight="1" x14ac:dyDescent="0.25">
      <c r="Q82" s="57"/>
      <c r="R82" s="57"/>
      <c r="S82" s="57"/>
      <c r="T82" s="57"/>
      <c r="U82" s="57"/>
      <c r="V82" s="57"/>
      <c r="W82" s="57"/>
      <c r="X82" s="57"/>
      <c r="Y82" s="57"/>
      <c r="Z82" s="57"/>
    </row>
    <row r="83" spans="17:26" ht="12.75" customHeight="1" x14ac:dyDescent="0.25">
      <c r="Q83" s="57"/>
      <c r="R83" s="57"/>
      <c r="S83" s="57"/>
      <c r="T83" s="57"/>
      <c r="U83" s="57"/>
      <c r="V83" s="57"/>
      <c r="W83" s="57"/>
      <c r="X83" s="57"/>
      <c r="Y83" s="57"/>
      <c r="Z83" s="57"/>
    </row>
    <row r="84" spans="17:26" ht="12.75" customHeight="1" x14ac:dyDescent="0.25">
      <c r="Q84" s="57"/>
      <c r="R84" s="57"/>
      <c r="S84" s="57"/>
      <c r="T84" s="57"/>
      <c r="U84" s="57"/>
      <c r="V84" s="57"/>
      <c r="W84" s="57"/>
      <c r="X84" s="57"/>
      <c r="Y84" s="57"/>
      <c r="Z84" s="57"/>
    </row>
    <row r="85" spans="17:26" ht="12.75" customHeight="1" x14ac:dyDescent="0.25">
      <c r="Q85" s="57"/>
      <c r="R85" s="57"/>
      <c r="S85" s="57"/>
      <c r="T85" s="57"/>
      <c r="U85" s="57"/>
      <c r="V85" s="57"/>
      <c r="W85" s="57"/>
      <c r="X85" s="57"/>
      <c r="Y85" s="57"/>
      <c r="Z85" s="57"/>
    </row>
    <row r="86" spans="17:26" ht="12.75" customHeight="1" x14ac:dyDescent="0.25">
      <c r="Q86" s="57"/>
      <c r="R86" s="57"/>
      <c r="S86" s="57"/>
      <c r="T86" s="57"/>
      <c r="U86" s="57"/>
      <c r="V86" s="57"/>
      <c r="W86" s="57"/>
      <c r="X86" s="57"/>
      <c r="Y86" s="57"/>
      <c r="Z86" s="57"/>
    </row>
    <row r="87" spans="17:26" ht="12.75" customHeight="1" x14ac:dyDescent="0.25">
      <c r="Q87" s="57"/>
      <c r="R87" s="57"/>
      <c r="S87" s="57"/>
      <c r="T87" s="57"/>
      <c r="U87" s="57"/>
      <c r="V87" s="57"/>
      <c r="W87" s="57"/>
      <c r="X87" s="57"/>
      <c r="Y87" s="57"/>
      <c r="Z87" s="57"/>
    </row>
    <row r="88" spans="17:26" ht="12.75" customHeight="1" x14ac:dyDescent="0.25">
      <c r="Q88" s="57"/>
      <c r="R88" s="57"/>
      <c r="S88" s="57"/>
      <c r="T88" s="57"/>
      <c r="U88" s="57"/>
      <c r="V88" s="57"/>
      <c r="W88" s="57"/>
      <c r="X88" s="57"/>
      <c r="Y88" s="57"/>
      <c r="Z88" s="57"/>
    </row>
    <row r="89" spans="17:26" ht="12.75" customHeight="1" x14ac:dyDescent="0.25">
      <c r="Q89" s="57"/>
      <c r="R89" s="57"/>
      <c r="S89" s="57"/>
      <c r="T89" s="57"/>
      <c r="U89" s="57"/>
      <c r="V89" s="57"/>
      <c r="W89" s="57"/>
      <c r="X89" s="57"/>
      <c r="Y89" s="57"/>
      <c r="Z89" s="57"/>
    </row>
    <row r="90" spans="17:26" ht="12.75" customHeight="1" x14ac:dyDescent="0.25">
      <c r="Q90" s="57"/>
      <c r="R90" s="57"/>
      <c r="S90" s="57"/>
      <c r="T90" s="57"/>
      <c r="U90" s="57"/>
      <c r="V90" s="57"/>
      <c r="W90" s="57"/>
      <c r="X90" s="57"/>
      <c r="Y90" s="57"/>
      <c r="Z90" s="57"/>
    </row>
    <row r="91" spans="17:26" ht="12.75" customHeight="1" x14ac:dyDescent="0.25">
      <c r="Q91" s="57"/>
      <c r="R91" s="57"/>
      <c r="S91" s="57"/>
      <c r="T91" s="57"/>
      <c r="U91" s="57"/>
      <c r="V91" s="57"/>
      <c r="W91" s="57"/>
      <c r="X91" s="57"/>
      <c r="Y91" s="57"/>
      <c r="Z91" s="57"/>
    </row>
    <row r="92" spans="17:26" ht="12.75" customHeight="1" x14ac:dyDescent="0.25">
      <c r="Q92" s="57"/>
      <c r="R92" s="57"/>
      <c r="S92" s="57"/>
      <c r="T92" s="57"/>
      <c r="U92" s="57"/>
      <c r="V92" s="57"/>
      <c r="W92" s="57"/>
      <c r="X92" s="57"/>
      <c r="Y92" s="57"/>
      <c r="Z92" s="57"/>
    </row>
    <row r="93" spans="17:26" ht="12.75" customHeight="1" x14ac:dyDescent="0.25">
      <c r="Q93" s="57"/>
      <c r="R93" s="57"/>
      <c r="S93" s="57"/>
      <c r="T93" s="57"/>
      <c r="U93" s="57"/>
      <c r="V93" s="57"/>
      <c r="W93" s="57"/>
      <c r="X93" s="57"/>
      <c r="Y93" s="57"/>
      <c r="Z93" s="57"/>
    </row>
    <row r="94" spans="17:26" ht="12.75" customHeight="1" x14ac:dyDescent="0.25">
      <c r="Q94" s="57"/>
      <c r="R94" s="57"/>
      <c r="S94" s="57"/>
      <c r="T94" s="57"/>
      <c r="U94" s="57"/>
      <c r="V94" s="57"/>
      <c r="W94" s="57"/>
      <c r="X94" s="57"/>
      <c r="Y94" s="57"/>
      <c r="Z94" s="57"/>
    </row>
    <row r="95" spans="17:26" ht="12.75" customHeight="1" x14ac:dyDescent="0.25">
      <c r="Q95" s="57"/>
      <c r="R95" s="57"/>
      <c r="S95" s="57"/>
      <c r="T95" s="57"/>
      <c r="U95" s="57"/>
      <c r="V95" s="57"/>
      <c r="W95" s="57"/>
      <c r="X95" s="57"/>
      <c r="Y95" s="57"/>
      <c r="Z95" s="57"/>
    </row>
    <row r="96" spans="17:26" ht="12.75" customHeight="1" x14ac:dyDescent="0.25">
      <c r="Q96" s="57"/>
      <c r="R96" s="57"/>
      <c r="S96" s="57"/>
      <c r="T96" s="57"/>
      <c r="U96" s="57"/>
      <c r="V96" s="57"/>
      <c r="W96" s="57"/>
      <c r="X96" s="57"/>
      <c r="Y96" s="57"/>
      <c r="Z96" s="57"/>
    </row>
    <row r="97" spans="17:26" ht="12.75" customHeight="1" x14ac:dyDescent="0.25">
      <c r="Q97" s="57"/>
      <c r="R97" s="57"/>
      <c r="S97" s="57"/>
      <c r="T97" s="57"/>
      <c r="U97" s="57"/>
      <c r="V97" s="57"/>
      <c r="W97" s="57"/>
      <c r="X97" s="57"/>
      <c r="Y97" s="57"/>
      <c r="Z97" s="57"/>
    </row>
    <row r="98" spans="17:26" ht="12.75" customHeight="1" x14ac:dyDescent="0.25">
      <c r="Q98" s="57"/>
      <c r="R98" s="57"/>
      <c r="S98" s="57"/>
      <c r="T98" s="57"/>
      <c r="U98" s="57"/>
      <c r="V98" s="57"/>
      <c r="W98" s="57"/>
      <c r="X98" s="57"/>
      <c r="Y98" s="57"/>
      <c r="Z98" s="57"/>
    </row>
    <row r="99" spans="17:26" ht="12.75" customHeight="1" x14ac:dyDescent="0.25">
      <c r="Q99" s="57"/>
      <c r="R99" s="57"/>
      <c r="S99" s="57"/>
      <c r="T99" s="57"/>
      <c r="U99" s="57"/>
      <c r="V99" s="57"/>
      <c r="W99" s="57"/>
      <c r="X99" s="57"/>
      <c r="Y99" s="57"/>
      <c r="Z99" s="57"/>
    </row>
    <row r="100" spans="17:26" ht="12.75" customHeight="1" x14ac:dyDescent="0.25">
      <c r="Q100" s="57"/>
      <c r="R100" s="57"/>
      <c r="S100" s="57"/>
      <c r="T100" s="57"/>
      <c r="U100" s="57"/>
      <c r="V100" s="57"/>
      <c r="W100" s="57"/>
      <c r="X100" s="57"/>
      <c r="Y100" s="57"/>
      <c r="Z100" s="57"/>
    </row>
    <row r="101" spans="17:26" ht="12.75" customHeight="1" x14ac:dyDescent="0.25">
      <c r="Q101" s="57"/>
      <c r="R101" s="57"/>
      <c r="S101" s="57"/>
      <c r="T101" s="57"/>
      <c r="U101" s="57"/>
      <c r="V101" s="57"/>
      <c r="W101" s="57"/>
      <c r="X101" s="57"/>
      <c r="Y101" s="57"/>
      <c r="Z101" s="57"/>
    </row>
    <row r="102" spans="17:26" ht="12.75" customHeight="1" x14ac:dyDescent="0.25">
      <c r="Q102" s="57"/>
      <c r="R102" s="57"/>
      <c r="S102" s="57"/>
      <c r="T102" s="57"/>
      <c r="U102" s="57"/>
      <c r="V102" s="57"/>
      <c r="W102" s="57"/>
      <c r="X102" s="57"/>
      <c r="Y102" s="57"/>
      <c r="Z102" s="57"/>
    </row>
    <row r="103" spans="17:26" ht="12.75" customHeight="1" x14ac:dyDescent="0.25">
      <c r="Q103" s="57"/>
      <c r="R103" s="57"/>
      <c r="S103" s="57"/>
      <c r="T103" s="57"/>
      <c r="U103" s="57"/>
      <c r="V103" s="57"/>
      <c r="W103" s="57"/>
      <c r="X103" s="57"/>
      <c r="Y103" s="57"/>
      <c r="Z103" s="57"/>
    </row>
    <row r="104" spans="17:26" ht="12.75" customHeight="1" x14ac:dyDescent="0.25">
      <c r="Q104" s="57"/>
      <c r="R104" s="57"/>
      <c r="S104" s="57"/>
      <c r="T104" s="57"/>
      <c r="U104" s="57"/>
      <c r="V104" s="57"/>
      <c r="W104" s="57"/>
      <c r="X104" s="57"/>
      <c r="Y104" s="57"/>
      <c r="Z104" s="57"/>
    </row>
    <row r="105" spans="17:26" ht="12.75" customHeight="1" x14ac:dyDescent="0.25">
      <c r="Q105" s="57"/>
      <c r="R105" s="57"/>
      <c r="S105" s="57"/>
      <c r="T105" s="57"/>
      <c r="U105" s="57"/>
      <c r="V105" s="57"/>
      <c r="W105" s="57"/>
      <c r="X105" s="57"/>
      <c r="Y105" s="57"/>
      <c r="Z105" s="57"/>
    </row>
    <row r="106" spans="17:26" ht="12.75" customHeight="1" x14ac:dyDescent="0.25">
      <c r="Q106" s="57"/>
      <c r="R106" s="57"/>
      <c r="S106" s="57"/>
      <c r="T106" s="57"/>
      <c r="U106" s="57"/>
      <c r="V106" s="57"/>
      <c r="W106" s="57"/>
      <c r="X106" s="57"/>
      <c r="Y106" s="57"/>
      <c r="Z106" s="57"/>
    </row>
    <row r="107" spans="17:26" ht="12.75" customHeight="1" x14ac:dyDescent="0.25">
      <c r="Q107" s="57"/>
      <c r="R107" s="57"/>
      <c r="S107" s="57"/>
      <c r="T107" s="57"/>
      <c r="U107" s="57"/>
      <c r="V107" s="57"/>
      <c r="W107" s="57"/>
      <c r="X107" s="57"/>
      <c r="Y107" s="57"/>
      <c r="Z107" s="57"/>
    </row>
    <row r="108" spans="17:26" ht="12.75" customHeight="1" x14ac:dyDescent="0.25">
      <c r="Q108" s="57"/>
      <c r="R108" s="57"/>
      <c r="S108" s="57"/>
      <c r="T108" s="57"/>
      <c r="U108" s="57"/>
      <c r="V108" s="57"/>
      <c r="W108" s="57"/>
      <c r="X108" s="57"/>
      <c r="Y108" s="57"/>
      <c r="Z108" s="57"/>
    </row>
    <row r="109" spans="17:26" ht="12.75" customHeight="1" x14ac:dyDescent="0.25">
      <c r="Q109" s="57"/>
      <c r="R109" s="57"/>
      <c r="S109" s="57"/>
      <c r="T109" s="57"/>
      <c r="U109" s="57"/>
      <c r="V109" s="57"/>
      <c r="W109" s="57"/>
      <c r="X109" s="57"/>
      <c r="Y109" s="57"/>
      <c r="Z109" s="57"/>
    </row>
    <row r="110" spans="17:26" ht="12.75" customHeight="1" x14ac:dyDescent="0.25">
      <c r="Q110" s="57"/>
      <c r="R110" s="57"/>
      <c r="S110" s="57"/>
      <c r="T110" s="57"/>
      <c r="U110" s="57"/>
      <c r="V110" s="57"/>
      <c r="W110" s="57"/>
      <c r="X110" s="57"/>
      <c r="Y110" s="57"/>
      <c r="Z110" s="57"/>
    </row>
    <row r="111" spans="17:26" ht="12.75" customHeight="1" x14ac:dyDescent="0.25">
      <c r="Q111" s="57"/>
      <c r="R111" s="57"/>
      <c r="S111" s="57"/>
      <c r="T111" s="57"/>
      <c r="U111" s="57"/>
      <c r="V111" s="57"/>
      <c r="W111" s="57"/>
      <c r="X111" s="57"/>
      <c r="Y111" s="57"/>
      <c r="Z111" s="57"/>
    </row>
    <row r="112" spans="17:26" ht="12.75" customHeight="1" x14ac:dyDescent="0.25">
      <c r="Q112" s="57"/>
      <c r="R112" s="57"/>
      <c r="S112" s="57"/>
      <c r="T112" s="57"/>
      <c r="U112" s="57"/>
      <c r="V112" s="57"/>
      <c r="W112" s="57"/>
      <c r="X112" s="57"/>
      <c r="Y112" s="57"/>
      <c r="Z112" s="57"/>
    </row>
    <row r="113" spans="17:26" ht="12.75" customHeight="1" x14ac:dyDescent="0.25">
      <c r="Q113" s="57"/>
      <c r="R113" s="57"/>
      <c r="S113" s="57"/>
      <c r="T113" s="57"/>
      <c r="U113" s="57"/>
      <c r="V113" s="57"/>
      <c r="W113" s="57"/>
      <c r="X113" s="57"/>
      <c r="Y113" s="57"/>
      <c r="Z113" s="57"/>
    </row>
    <row r="114" spans="17:26" ht="12.75" customHeight="1" x14ac:dyDescent="0.25">
      <c r="Q114" s="57"/>
      <c r="R114" s="57"/>
      <c r="S114" s="57"/>
      <c r="T114" s="57"/>
      <c r="U114" s="57"/>
      <c r="V114" s="57"/>
      <c r="W114" s="57"/>
      <c r="X114" s="57"/>
      <c r="Y114" s="57"/>
      <c r="Z114" s="57"/>
    </row>
    <row r="115" spans="17:26" ht="12.75" customHeight="1" x14ac:dyDescent="0.25">
      <c r="Q115" s="57"/>
      <c r="R115" s="57"/>
      <c r="S115" s="57"/>
      <c r="T115" s="57"/>
      <c r="U115" s="57"/>
      <c r="V115" s="57"/>
      <c r="W115" s="57"/>
      <c r="X115" s="57"/>
      <c r="Y115" s="57"/>
      <c r="Z115" s="57"/>
    </row>
    <row r="116" spans="17:26" ht="12.75" customHeight="1" x14ac:dyDescent="0.25">
      <c r="Q116" s="57"/>
      <c r="R116" s="57"/>
      <c r="S116" s="57"/>
      <c r="T116" s="57"/>
      <c r="U116" s="57"/>
      <c r="V116" s="57"/>
      <c r="W116" s="57"/>
      <c r="X116" s="57"/>
      <c r="Y116" s="57"/>
      <c r="Z116" s="57"/>
    </row>
    <row r="117" spans="17:26" ht="12.75" customHeight="1" x14ac:dyDescent="0.25">
      <c r="Q117" s="57"/>
      <c r="R117" s="57"/>
      <c r="S117" s="57"/>
      <c r="T117" s="57"/>
      <c r="U117" s="57"/>
      <c r="V117" s="57"/>
      <c r="W117" s="57"/>
      <c r="X117" s="57"/>
      <c r="Y117" s="57"/>
      <c r="Z117" s="57"/>
    </row>
    <row r="118" spans="17:26" ht="12.75" customHeight="1" x14ac:dyDescent="0.25">
      <c r="Q118" s="57"/>
      <c r="R118" s="57"/>
      <c r="S118" s="57"/>
      <c r="T118" s="57"/>
      <c r="U118" s="57"/>
      <c r="V118" s="57"/>
      <c r="W118" s="57"/>
      <c r="X118" s="57"/>
      <c r="Y118" s="57"/>
      <c r="Z118" s="57"/>
    </row>
    <row r="119" spans="17:26" ht="12.75" customHeight="1" x14ac:dyDescent="0.25">
      <c r="Q119" s="57"/>
      <c r="R119" s="57"/>
      <c r="S119" s="57"/>
      <c r="T119" s="57"/>
      <c r="U119" s="57"/>
      <c r="V119" s="57"/>
      <c r="W119" s="57"/>
      <c r="X119" s="57"/>
      <c r="Y119" s="57"/>
      <c r="Z119" s="57"/>
    </row>
    <row r="120" spans="17:26" ht="12.75" customHeight="1" x14ac:dyDescent="0.25">
      <c r="Q120" s="57"/>
      <c r="R120" s="57"/>
      <c r="S120" s="57"/>
      <c r="T120" s="57"/>
      <c r="U120" s="57"/>
      <c r="V120" s="57"/>
      <c r="W120" s="57"/>
      <c r="X120" s="57"/>
      <c r="Y120" s="57"/>
      <c r="Z120" s="57"/>
    </row>
    <row r="121" spans="17:26" ht="12.75" customHeight="1" x14ac:dyDescent="0.25">
      <c r="Q121" s="57"/>
      <c r="R121" s="57"/>
      <c r="S121" s="57"/>
      <c r="T121" s="57"/>
      <c r="U121" s="57"/>
      <c r="V121" s="57"/>
      <c r="W121" s="57"/>
      <c r="X121" s="57"/>
      <c r="Y121" s="57"/>
      <c r="Z121" s="57"/>
    </row>
    <row r="122" spans="17:26" ht="12.75" customHeight="1" x14ac:dyDescent="0.25">
      <c r="Q122" s="57"/>
      <c r="R122" s="57"/>
      <c r="S122" s="57"/>
      <c r="T122" s="57"/>
      <c r="U122" s="57"/>
      <c r="V122" s="57"/>
      <c r="W122" s="57"/>
      <c r="X122" s="57"/>
      <c r="Y122" s="57"/>
      <c r="Z122" s="57"/>
    </row>
    <row r="123" spans="17:26" ht="12.75" customHeight="1" x14ac:dyDescent="0.25">
      <c r="Q123" s="57"/>
      <c r="R123" s="57"/>
      <c r="S123" s="57"/>
      <c r="T123" s="57"/>
      <c r="U123" s="57"/>
      <c r="V123" s="57"/>
      <c r="W123" s="57"/>
      <c r="X123" s="57"/>
      <c r="Y123" s="57"/>
      <c r="Z123" s="57"/>
    </row>
    <row r="124" spans="17:26" ht="12.75" customHeight="1" x14ac:dyDescent="0.25">
      <c r="Q124" s="57"/>
      <c r="R124" s="57"/>
      <c r="S124" s="57"/>
      <c r="T124" s="57"/>
      <c r="U124" s="57"/>
      <c r="V124" s="57"/>
      <c r="W124" s="57"/>
      <c r="X124" s="57"/>
      <c r="Y124" s="57"/>
      <c r="Z124" s="57"/>
    </row>
    <row r="125" spans="17:26" ht="12.75" customHeight="1" x14ac:dyDescent="0.25">
      <c r="Q125" s="57"/>
      <c r="R125" s="57"/>
      <c r="S125" s="57"/>
      <c r="T125" s="57"/>
      <c r="U125" s="57"/>
      <c r="V125" s="57"/>
      <c r="W125" s="57"/>
      <c r="X125" s="57"/>
      <c r="Y125" s="57"/>
      <c r="Z125" s="57"/>
    </row>
    <row r="126" spans="17:26" ht="12.75" customHeight="1" x14ac:dyDescent="0.25">
      <c r="Q126" s="57"/>
      <c r="R126" s="57"/>
      <c r="S126" s="57"/>
      <c r="T126" s="57"/>
      <c r="U126" s="57"/>
      <c r="V126" s="57"/>
      <c r="W126" s="57"/>
      <c r="X126" s="57"/>
      <c r="Y126" s="57"/>
      <c r="Z126" s="57"/>
    </row>
    <row r="127" spans="17:26" ht="12.75" customHeight="1" x14ac:dyDescent="0.25">
      <c r="Q127" s="57"/>
      <c r="R127" s="57"/>
      <c r="S127" s="57"/>
      <c r="T127" s="57"/>
      <c r="U127" s="57"/>
      <c r="V127" s="57"/>
      <c r="W127" s="57"/>
      <c r="X127" s="57"/>
      <c r="Y127" s="57"/>
      <c r="Z127" s="57"/>
    </row>
    <row r="128" spans="17:26" ht="12.75" customHeight="1" x14ac:dyDescent="0.25">
      <c r="Q128" s="57"/>
      <c r="R128" s="57"/>
      <c r="S128" s="57"/>
      <c r="T128" s="57"/>
      <c r="U128" s="57"/>
      <c r="V128" s="57"/>
      <c r="W128" s="57"/>
      <c r="X128" s="57"/>
      <c r="Y128" s="57"/>
      <c r="Z128" s="57"/>
    </row>
    <row r="129" spans="17:26" ht="12.75" customHeight="1" x14ac:dyDescent="0.25">
      <c r="Q129" s="57"/>
      <c r="R129" s="57"/>
      <c r="S129" s="57"/>
      <c r="T129" s="57"/>
      <c r="U129" s="57"/>
      <c r="V129" s="57"/>
      <c r="W129" s="57"/>
      <c r="X129" s="57"/>
      <c r="Y129" s="57"/>
      <c r="Z129" s="57"/>
    </row>
    <row r="130" spans="17:26" ht="12.75" customHeight="1" x14ac:dyDescent="0.25">
      <c r="Q130" s="57"/>
      <c r="R130" s="57"/>
      <c r="S130" s="57"/>
      <c r="T130" s="57"/>
      <c r="U130" s="57"/>
      <c r="V130" s="57"/>
      <c r="W130" s="57"/>
      <c r="X130" s="57"/>
      <c r="Y130" s="57"/>
      <c r="Z130" s="57"/>
    </row>
    <row r="131" spans="17:26" ht="12.75" customHeight="1" x14ac:dyDescent="0.25">
      <c r="Q131" s="57"/>
      <c r="R131" s="57"/>
      <c r="S131" s="57"/>
      <c r="T131" s="57"/>
      <c r="U131" s="57"/>
      <c r="V131" s="57"/>
      <c r="W131" s="57"/>
      <c r="X131" s="57"/>
      <c r="Y131" s="57"/>
      <c r="Z131" s="57"/>
    </row>
    <row r="132" spans="17:26" ht="12.75" customHeight="1" x14ac:dyDescent="0.25">
      <c r="Q132" s="57"/>
      <c r="R132" s="57"/>
      <c r="S132" s="57"/>
      <c r="T132" s="57"/>
      <c r="U132" s="57"/>
      <c r="V132" s="57"/>
      <c r="W132" s="57"/>
      <c r="X132" s="57"/>
      <c r="Y132" s="57"/>
      <c r="Z132" s="57"/>
    </row>
  </sheetData>
  <mergeCells count="6">
    <mergeCell ref="O30:O31"/>
    <mergeCell ref="B1:I1"/>
    <mergeCell ref="A27:A28"/>
    <mergeCell ref="B30:B31"/>
    <mergeCell ref="C30:C31"/>
    <mergeCell ref="E30:E31"/>
  </mergeCells>
  <pageMargins left="0.19685039370078702" right="0.19685039370078702" top="0.19685039370078702" bottom="0.19685039370078755" header="0.19685039370078702" footer="0.15748031496063003"/>
  <pageSetup paperSize="0" scale="80" fitToWidth="0" fitToHeight="0" pageOrder="overThenDown" orientation="landscape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1</vt:i4>
      </vt:variant>
    </vt:vector>
  </HeadingPairs>
  <TitlesOfParts>
    <vt:vector size="10" baseType="lpstr">
      <vt:lpstr>Prestations Annexes</vt:lpstr>
      <vt:lpstr>Recap</vt:lpstr>
      <vt:lpstr>MAE_2025</vt:lpstr>
      <vt:lpstr>Hors_MAE_2025</vt:lpstr>
      <vt:lpstr>MAE_2024</vt:lpstr>
      <vt:lpstr>Hors_MAE_2024</vt:lpstr>
      <vt:lpstr>MAE_2023</vt:lpstr>
      <vt:lpstr>MAE_2022</vt:lpstr>
      <vt:lpstr>MAE_2021</vt:lpstr>
      <vt:lpstr>MAE_2021!Zone_d_impression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Utilisateur_pc</dc:creator>
  <cp:lastModifiedBy>Xavier ESTIENNE</cp:lastModifiedBy>
  <cp:revision>249</cp:revision>
  <cp:lastPrinted>2025-06-18T15:00:37Z</cp:lastPrinted>
  <dcterms:created xsi:type="dcterms:W3CDTF">1999-02-03T16:05:25Z</dcterms:created>
  <dcterms:modified xsi:type="dcterms:W3CDTF">2025-07-01T09:37:58Z</dcterms:modified>
</cp:coreProperties>
</file>